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HL\nabídky\Statenice\"/>
    </mc:Choice>
  </mc:AlternateContent>
  <xr:revisionPtr revIDLastSave="0" documentId="13_ncr:1_{D5F68FAF-B7F8-456F-9814-67A5D5917F25}" xr6:coauthVersionLast="47" xr6:coauthVersionMax="47" xr10:uidLastSave="{00000000-0000-0000-0000-000000000000}"/>
  <bookViews>
    <workbookView xWindow="-120" yWindow="-120" windowWidth="29040" windowHeight="15840" activeTab="4" xr2:uid="{F7634A39-4D1B-DE48-A9FD-6A5E32403AFB}"/>
  </bookViews>
  <sheets>
    <sheet name="Rekapitulace stavby" sheetId="5" r:id="rId1"/>
    <sheet name="SO 01" sheetId="6" r:id="rId2"/>
    <sheet name="SO 02" sheetId="2" r:id="rId3"/>
    <sheet name="PS 01" sheetId="3" r:id="rId4"/>
    <sheet name="PS 02" sheetId="9" r:id="rId5"/>
  </sheets>
  <externalReferences>
    <externalReference r:id="rId6"/>
  </externalReferences>
  <definedNames>
    <definedName name="_xlnm.Print_Titles" localSheetId="0">'Rekapitulace stavby'!$92:$92</definedName>
    <definedName name="_xlnm.Print_Area" localSheetId="3">'PS 01'!$A$2:$G$45</definedName>
    <definedName name="_xlnm.Print_Area" localSheetId="0">'Rekapitulace stavby'!$D$4:$AO$76,'Rekapitulace stavby'!$C$82:$AQ$99</definedName>
    <definedName name="_xlnm.Print_Area" localSheetId="1">'SO 01'!$A$2:$G$46</definedName>
    <definedName name="_xlnm.Print_Area" localSheetId="2">'SO 02'!$A$2:$G$36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6" l="1"/>
  <c r="BE94" i="5" l="1"/>
  <c r="T96" i="9" l="1"/>
  <c r="T95" i="9"/>
  <c r="S95" i="9"/>
  <c r="Q95" i="9"/>
  <c r="T94" i="9"/>
  <c r="S94" i="9"/>
  <c r="Q94" i="9"/>
  <c r="S93" i="9"/>
  <c r="T93" i="9" s="1"/>
  <c r="Q93" i="9"/>
  <c r="S92" i="9"/>
  <c r="Q92" i="9"/>
  <c r="T92" i="9" s="1"/>
  <c r="T89" i="9"/>
  <c r="S89" i="9"/>
  <c r="Q89" i="9"/>
  <c r="T88" i="9"/>
  <c r="S88" i="9"/>
  <c r="Q88" i="9"/>
  <c r="S87" i="9"/>
  <c r="T87" i="9" s="1"/>
  <c r="Q87" i="9"/>
  <c r="S86" i="9"/>
  <c r="T86" i="9" s="1"/>
  <c r="Q86" i="9"/>
  <c r="T82" i="9"/>
  <c r="S82" i="9"/>
  <c r="Q82" i="9"/>
  <c r="S81" i="9"/>
  <c r="T81" i="9" s="1"/>
  <c r="Q81" i="9"/>
  <c r="S80" i="9"/>
  <c r="T80" i="9" s="1"/>
  <c r="Q80" i="9"/>
  <c r="S79" i="9"/>
  <c r="Q79" i="9"/>
  <c r="T79" i="9" s="1"/>
  <c r="T78" i="9"/>
  <c r="S78" i="9"/>
  <c r="Q78" i="9"/>
  <c r="T77" i="9"/>
  <c r="S77" i="9"/>
  <c r="Q77" i="9"/>
  <c r="S76" i="9"/>
  <c r="T76" i="9" s="1"/>
  <c r="Q76" i="9"/>
  <c r="S75" i="9"/>
  <c r="T75" i="9" s="1"/>
  <c r="Q75" i="9"/>
  <c r="T74" i="9"/>
  <c r="S74" i="9"/>
  <c r="Q74" i="9"/>
  <c r="S71" i="9"/>
  <c r="T71" i="9" s="1"/>
  <c r="Q71" i="9"/>
  <c r="S70" i="9"/>
  <c r="T70" i="9" s="1"/>
  <c r="Q70" i="9"/>
  <c r="S69" i="9"/>
  <c r="Q69" i="9"/>
  <c r="T69" i="9" s="1"/>
  <c r="T68" i="9"/>
  <c r="S68" i="9"/>
  <c r="Q68" i="9"/>
  <c r="T65" i="9"/>
  <c r="S65" i="9"/>
  <c r="Q65" i="9"/>
  <c r="S64" i="9"/>
  <c r="T64" i="9" s="1"/>
  <c r="Q64" i="9"/>
  <c r="S63" i="9"/>
  <c r="T63" i="9" s="1"/>
  <c r="Q63" i="9"/>
  <c r="T62" i="9"/>
  <c r="S62" i="9"/>
  <c r="Q62" i="9"/>
  <c r="S61" i="9"/>
  <c r="T61" i="9" s="1"/>
  <c r="Q61" i="9"/>
  <c r="S60" i="9"/>
  <c r="T60" i="9" s="1"/>
  <c r="Q60" i="9"/>
  <c r="S59" i="9"/>
  <c r="Q59" i="9"/>
  <c r="T59" i="9" s="1"/>
  <c r="T58" i="9"/>
  <c r="S58" i="9"/>
  <c r="Q58" i="9"/>
  <c r="T57" i="9"/>
  <c r="S57" i="9"/>
  <c r="Q57" i="9"/>
  <c r="S54" i="9"/>
  <c r="T54" i="9" s="1"/>
  <c r="Q54" i="9"/>
  <c r="S53" i="9"/>
  <c r="T53" i="9" s="1"/>
  <c r="Q53" i="9"/>
  <c r="T51" i="9"/>
  <c r="S51" i="9"/>
  <c r="Q51" i="9"/>
  <c r="S50" i="9"/>
  <c r="T50" i="9" s="1"/>
  <c r="Q50" i="9"/>
  <c r="S49" i="9"/>
  <c r="T49" i="9" s="1"/>
  <c r="Q49" i="9"/>
  <c r="S47" i="9"/>
  <c r="T47" i="9" s="1"/>
  <c r="Q47" i="9"/>
  <c r="T46" i="9"/>
  <c r="S46" i="9"/>
  <c r="Q46" i="9"/>
  <c r="T45" i="9"/>
  <c r="S45" i="9"/>
  <c r="Q45" i="9"/>
  <c r="S44" i="9"/>
  <c r="T44" i="9" s="1"/>
  <c r="Q44" i="9"/>
  <c r="T42" i="9"/>
  <c r="S42" i="9"/>
  <c r="Q42" i="9"/>
  <c r="S41" i="9"/>
  <c r="T41" i="9" s="1"/>
  <c r="Q41" i="9"/>
  <c r="T40" i="9"/>
  <c r="S40" i="9"/>
  <c r="Q40" i="9"/>
  <c r="S39" i="9"/>
  <c r="T39" i="9" s="1"/>
  <c r="Q39" i="9"/>
  <c r="S36" i="9"/>
  <c r="T36" i="9" s="1"/>
  <c r="Q36" i="9"/>
  <c r="S35" i="9"/>
  <c r="T35" i="9" s="1"/>
  <c r="Q35" i="9"/>
  <c r="S34" i="9"/>
  <c r="T34" i="9" s="1"/>
  <c r="Q34" i="9"/>
  <c r="S31" i="9"/>
  <c r="T31" i="9" s="1"/>
  <c r="Q31" i="9"/>
  <c r="T30" i="9"/>
  <c r="S30" i="9"/>
  <c r="Q30" i="9"/>
  <c r="S29" i="9"/>
  <c r="Q29" i="9"/>
  <c r="T29" i="9" s="1"/>
  <c r="T24" i="9"/>
  <c r="S24" i="9"/>
  <c r="Q24" i="9"/>
  <c r="S23" i="9"/>
  <c r="Q23" i="9"/>
  <c r="T23" i="9" s="1"/>
  <c r="S22" i="9"/>
  <c r="Q22" i="9"/>
  <c r="T22" i="9" s="1"/>
  <c r="S21" i="9"/>
  <c r="T21" i="9" s="1"/>
  <c r="Q21" i="9"/>
  <c r="S19" i="9"/>
  <c r="T19" i="9" s="1"/>
  <c r="S18" i="9"/>
  <c r="Q18" i="9"/>
  <c r="T18" i="9" s="1"/>
  <c r="S17" i="9"/>
  <c r="T17" i="9" s="1"/>
  <c r="Q17" i="9"/>
  <c r="S15" i="9"/>
  <c r="Q15" i="9"/>
  <c r="T15" i="9" s="1"/>
  <c r="S14" i="9"/>
  <c r="T14" i="9" s="1"/>
  <c r="Q14" i="9"/>
  <c r="T13" i="9"/>
  <c r="S13" i="9"/>
  <c r="Q13" i="9"/>
  <c r="S12" i="9"/>
  <c r="Q12" i="9"/>
  <c r="T12" i="9" s="1"/>
  <c r="T11" i="9"/>
  <c r="S11" i="9"/>
  <c r="Q11" i="9"/>
  <c r="S10" i="9"/>
  <c r="Q10" i="9"/>
  <c r="T10" i="9" s="1"/>
  <c r="S8" i="9"/>
  <c r="Q8" i="9"/>
  <c r="T8" i="9" s="1"/>
  <c r="S7" i="9"/>
  <c r="T7" i="9" s="1"/>
  <c r="Q7" i="9"/>
  <c r="S6" i="9"/>
  <c r="Q6" i="9"/>
  <c r="T6" i="9" s="1"/>
  <c r="S5" i="9"/>
  <c r="T5" i="9" s="1"/>
  <c r="Q5" i="9"/>
  <c r="O47" i="3"/>
  <c r="O46" i="3"/>
  <c r="O44" i="3"/>
  <c r="O43" i="3"/>
  <c r="O42" i="3"/>
  <c r="O41" i="3"/>
  <c r="O40" i="3"/>
  <c r="O39" i="3"/>
  <c r="O38" i="3"/>
  <c r="O37" i="3"/>
  <c r="O36" i="3"/>
  <c r="O35" i="3"/>
  <c r="O34" i="3"/>
  <c r="O32" i="3"/>
  <c r="O31" i="3"/>
  <c r="O30" i="3"/>
  <c r="O29" i="3"/>
  <c r="O28" i="3"/>
  <c r="O25" i="3"/>
  <c r="O24" i="3"/>
  <c r="O23" i="3"/>
  <c r="O22" i="3"/>
  <c r="M18" i="3"/>
  <c r="O18" i="3" s="1"/>
  <c r="M17" i="3"/>
  <c r="O17" i="3" s="1"/>
  <c r="O16" i="3"/>
  <c r="M16" i="3"/>
  <c r="O15" i="3"/>
  <c r="M15" i="3"/>
  <c r="O14" i="3"/>
  <c r="O13" i="3"/>
  <c r="O12" i="3"/>
  <c r="O11" i="3"/>
  <c r="O10" i="3"/>
  <c r="O9" i="3"/>
  <c r="O7" i="3"/>
  <c r="O6" i="3"/>
  <c r="O5" i="3"/>
  <c r="O4" i="3"/>
  <c r="O35" i="2"/>
  <c r="O34" i="2"/>
  <c r="O33" i="2"/>
  <c r="O32" i="2"/>
  <c r="O31" i="2"/>
  <c r="O30" i="2"/>
  <c r="O29" i="2"/>
  <c r="O28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19" i="6"/>
  <c r="O18" i="6"/>
  <c r="O17" i="6"/>
  <c r="O16" i="6"/>
  <c r="O15" i="6"/>
  <c r="O13" i="6"/>
  <c r="O12" i="6"/>
  <c r="O11" i="6"/>
  <c r="O10" i="6"/>
  <c r="O9" i="6"/>
  <c r="O8" i="6"/>
  <c r="O7" i="6"/>
  <c r="O6" i="6"/>
  <c r="O5" i="6"/>
  <c r="O4" i="6"/>
  <c r="O47" i="6" l="1"/>
  <c r="G21" i="2"/>
  <c r="AN98" i="5" l="1"/>
  <c r="AG98" i="5"/>
  <c r="J95" i="9"/>
  <c r="I95" i="9"/>
  <c r="G95" i="9"/>
  <c r="I94" i="9"/>
  <c r="J94" i="9" s="1"/>
  <c r="G94" i="9"/>
  <c r="I93" i="9"/>
  <c r="J93" i="9" s="1"/>
  <c r="G93" i="9"/>
  <c r="I92" i="9"/>
  <c r="J92" i="9" s="1"/>
  <c r="G92" i="9"/>
  <c r="I89" i="9"/>
  <c r="J89" i="9" s="1"/>
  <c r="G89" i="9"/>
  <c r="I88" i="9"/>
  <c r="J88" i="9" s="1"/>
  <c r="G88" i="9"/>
  <c r="J87" i="9"/>
  <c r="I87" i="9"/>
  <c r="G87" i="9"/>
  <c r="I86" i="9"/>
  <c r="J86" i="9" s="1"/>
  <c r="G86" i="9"/>
  <c r="J82" i="9"/>
  <c r="I82" i="9"/>
  <c r="G82" i="9"/>
  <c r="J81" i="9"/>
  <c r="I81" i="9"/>
  <c r="G81" i="9"/>
  <c r="I80" i="9"/>
  <c r="J80" i="9" s="1"/>
  <c r="G80" i="9"/>
  <c r="I79" i="9"/>
  <c r="J79" i="9" s="1"/>
  <c r="G79" i="9"/>
  <c r="I78" i="9"/>
  <c r="J78" i="9" s="1"/>
  <c r="G78" i="9"/>
  <c r="I77" i="9"/>
  <c r="J77" i="9" s="1"/>
  <c r="G77" i="9"/>
  <c r="J76" i="9"/>
  <c r="I76" i="9"/>
  <c r="G76" i="9"/>
  <c r="I75" i="9"/>
  <c r="J75" i="9" s="1"/>
  <c r="G75" i="9"/>
  <c r="J74" i="9"/>
  <c r="I74" i="9"/>
  <c r="G74" i="9"/>
  <c r="J71" i="9"/>
  <c r="I71" i="9"/>
  <c r="G71" i="9"/>
  <c r="I70" i="9"/>
  <c r="J70" i="9" s="1"/>
  <c r="G70" i="9"/>
  <c r="I69" i="9"/>
  <c r="J69" i="9" s="1"/>
  <c r="G69" i="9"/>
  <c r="I68" i="9"/>
  <c r="J68" i="9" s="1"/>
  <c r="G68" i="9"/>
  <c r="I65" i="9"/>
  <c r="J65" i="9" s="1"/>
  <c r="G65" i="9"/>
  <c r="J64" i="9"/>
  <c r="I64" i="9"/>
  <c r="G64" i="9"/>
  <c r="I63" i="9"/>
  <c r="J63" i="9" s="1"/>
  <c r="G63" i="9"/>
  <c r="J62" i="9"/>
  <c r="I62" i="9"/>
  <c r="G62" i="9"/>
  <c r="J61" i="9"/>
  <c r="I61" i="9"/>
  <c r="G61" i="9"/>
  <c r="I60" i="9"/>
  <c r="J60" i="9" s="1"/>
  <c r="G60" i="9"/>
  <c r="I59" i="9"/>
  <c r="J59" i="9" s="1"/>
  <c r="G59" i="9"/>
  <c r="I58" i="9"/>
  <c r="J58" i="9" s="1"/>
  <c r="G58" i="9"/>
  <c r="I57" i="9"/>
  <c r="J57" i="9" s="1"/>
  <c r="G57" i="9"/>
  <c r="I54" i="9"/>
  <c r="J54" i="9" s="1"/>
  <c r="G54" i="9"/>
  <c r="I53" i="9"/>
  <c r="J53" i="9" s="1"/>
  <c r="G53" i="9"/>
  <c r="I51" i="9"/>
  <c r="J51" i="9" s="1"/>
  <c r="G51" i="9"/>
  <c r="J50" i="9"/>
  <c r="I50" i="9"/>
  <c r="G50" i="9"/>
  <c r="I49" i="9"/>
  <c r="J49" i="9" s="1"/>
  <c r="G49" i="9"/>
  <c r="I47" i="9"/>
  <c r="J47" i="9" s="1"/>
  <c r="G47" i="9"/>
  <c r="I46" i="9"/>
  <c r="G46" i="9"/>
  <c r="J46" i="9" s="1"/>
  <c r="J45" i="9"/>
  <c r="I45" i="9"/>
  <c r="G45" i="9"/>
  <c r="I44" i="9"/>
  <c r="J44" i="9" s="1"/>
  <c r="G44" i="9"/>
  <c r="I42" i="9"/>
  <c r="J42" i="9" s="1"/>
  <c r="G42" i="9"/>
  <c r="I41" i="9"/>
  <c r="J41" i="9" s="1"/>
  <c r="G41" i="9"/>
  <c r="I40" i="9"/>
  <c r="J40" i="9" s="1"/>
  <c r="G40" i="9"/>
  <c r="I39" i="9"/>
  <c r="J39" i="9" s="1"/>
  <c r="G39" i="9"/>
  <c r="I36" i="9"/>
  <c r="J36" i="9" s="1"/>
  <c r="G36" i="9"/>
  <c r="I35" i="9"/>
  <c r="J35" i="9" s="1"/>
  <c r="G35" i="9"/>
  <c r="I34" i="9"/>
  <c r="J34" i="9" s="1"/>
  <c r="G34" i="9"/>
  <c r="J31" i="9"/>
  <c r="I31" i="9"/>
  <c r="G31" i="9"/>
  <c r="I30" i="9"/>
  <c r="G30" i="9"/>
  <c r="J30" i="9" s="1"/>
  <c r="I29" i="9"/>
  <c r="G29" i="9"/>
  <c r="J29" i="9" s="1"/>
  <c r="I24" i="9"/>
  <c r="G24" i="9"/>
  <c r="J24" i="9" s="1"/>
  <c r="I23" i="9"/>
  <c r="G23" i="9"/>
  <c r="J23" i="9" s="1"/>
  <c r="J22" i="9"/>
  <c r="I22" i="9"/>
  <c r="G22" i="9"/>
  <c r="I21" i="9"/>
  <c r="G21" i="9"/>
  <c r="J21" i="9" s="1"/>
  <c r="I19" i="9"/>
  <c r="J19" i="9" s="1"/>
  <c r="J18" i="9"/>
  <c r="I18" i="9"/>
  <c r="G18" i="9"/>
  <c r="I17" i="9"/>
  <c r="G17" i="9"/>
  <c r="J17" i="9" s="1"/>
  <c r="I15" i="9"/>
  <c r="G15" i="9"/>
  <c r="J15" i="9" s="1"/>
  <c r="I14" i="9"/>
  <c r="G14" i="9"/>
  <c r="J14" i="9" s="1"/>
  <c r="I13" i="9"/>
  <c r="G13" i="9"/>
  <c r="J13" i="9" s="1"/>
  <c r="I12" i="9"/>
  <c r="J12" i="9" s="1"/>
  <c r="G12" i="9"/>
  <c r="I11" i="9"/>
  <c r="G11" i="9"/>
  <c r="J11" i="9" s="1"/>
  <c r="I10" i="9"/>
  <c r="G10" i="9"/>
  <c r="J10" i="9" s="1"/>
  <c r="J8" i="9"/>
  <c r="I8" i="9"/>
  <c r="G8" i="9"/>
  <c r="I7" i="9"/>
  <c r="G7" i="9"/>
  <c r="J7" i="9" s="1"/>
  <c r="I6" i="9"/>
  <c r="G6" i="9"/>
  <c r="J6" i="9" s="1"/>
  <c r="I5" i="9"/>
  <c r="G5" i="9"/>
  <c r="J5" i="9" s="1"/>
  <c r="G30" i="3"/>
  <c r="G16" i="6" l="1"/>
  <c r="E30" i="6"/>
  <c r="E31" i="6" s="1"/>
  <c r="G44" i="6" l="1"/>
  <c r="G43" i="6"/>
  <c r="G42" i="6"/>
  <c r="G41" i="6"/>
  <c r="G21" i="6"/>
  <c r="I43" i="9"/>
  <c r="G43" i="9"/>
  <c r="G20" i="6"/>
  <c r="E27" i="6"/>
  <c r="E26" i="6"/>
  <c r="J43" i="9" l="1"/>
  <c r="J96" i="9" s="1"/>
  <c r="E11" i="6"/>
  <c r="E9" i="6"/>
  <c r="E8" i="6"/>
  <c r="E10" i="6"/>
  <c r="E7" i="6"/>
  <c r="E5" i="6"/>
  <c r="E29" i="2"/>
  <c r="E28" i="2"/>
  <c r="E24" i="2"/>
  <c r="G24" i="2" s="1"/>
  <c r="E25" i="2"/>
  <c r="E27" i="2"/>
  <c r="G27" i="2" s="1"/>
  <c r="E26" i="2"/>
  <c r="G26" i="2"/>
  <c r="G25" i="2"/>
  <c r="G23" i="2"/>
  <c r="E6" i="6"/>
  <c r="E4" i="6"/>
  <c r="G4" i="6" s="1"/>
  <c r="G28" i="3"/>
  <c r="G27" i="3"/>
  <c r="G21" i="3"/>
  <c r="G8" i="3"/>
  <c r="E9" i="2"/>
  <c r="E8" i="2"/>
  <c r="E7" i="2"/>
  <c r="E6" i="2"/>
  <c r="E5" i="2"/>
  <c r="E4" i="2"/>
  <c r="G32" i="3"/>
  <c r="G31" i="3"/>
  <c r="G29" i="3"/>
  <c r="G26" i="3"/>
  <c r="G28" i="6"/>
  <c r="G22" i="2"/>
  <c r="G6" i="6" l="1"/>
  <c r="G29" i="6"/>
  <c r="G32" i="6"/>
  <c r="G33" i="6"/>
  <c r="G34" i="6"/>
  <c r="G35" i="6"/>
  <c r="G36" i="6"/>
  <c r="G37" i="6"/>
  <c r="G38" i="6"/>
  <c r="G39" i="6"/>
  <c r="G40" i="6"/>
  <c r="G31" i="6"/>
  <c r="G30" i="6"/>
  <c r="G45" i="6"/>
  <c r="G27" i="6"/>
  <c r="G26" i="6"/>
  <c r="G25" i="6"/>
  <c r="G24" i="6"/>
  <c r="G23" i="6"/>
  <c r="G22" i="6"/>
  <c r="G19" i="6"/>
  <c r="G18" i="6"/>
  <c r="G15" i="6"/>
  <c r="G13" i="6"/>
  <c r="G11" i="6"/>
  <c r="G10" i="6"/>
  <c r="G9" i="6"/>
  <c r="G8" i="6"/>
  <c r="G7" i="6"/>
  <c r="G5" i="6"/>
  <c r="G29" i="2"/>
  <c r="G28" i="2"/>
  <c r="G7" i="2"/>
  <c r="G8" i="2"/>
  <c r="G19" i="2"/>
  <c r="G37" i="3"/>
  <c r="G44" i="3"/>
  <c r="G14" i="6" l="1"/>
  <c r="G17" i="6"/>
  <c r="G12" i="6"/>
  <c r="G38" i="3"/>
  <c r="G24" i="3"/>
  <c r="G25" i="3"/>
  <c r="G23" i="3"/>
  <c r="G22" i="3"/>
  <c r="E16" i="3"/>
  <c r="E18" i="3" s="1"/>
  <c r="G18" i="3" s="1"/>
  <c r="G14" i="3"/>
  <c r="G13" i="3"/>
  <c r="G12" i="3"/>
  <c r="G11" i="3"/>
  <c r="G9" i="3"/>
  <c r="G10" i="3"/>
  <c r="G7" i="3"/>
  <c r="G6" i="3"/>
  <c r="G5" i="3"/>
  <c r="E15" i="3"/>
  <c r="E17" i="3" s="1"/>
  <c r="BD98" i="5"/>
  <c r="BD96" i="5" s="1"/>
  <c r="BD94" i="5" s="1"/>
  <c r="W33" i="5" s="1"/>
  <c r="BC98" i="5"/>
  <c r="BC96" i="5" s="1"/>
  <c r="BB98" i="5"/>
  <c r="BB96" i="5" s="1"/>
  <c r="AX96" i="5" s="1"/>
  <c r="BA98" i="5"/>
  <c r="BA96" i="5" s="1"/>
  <c r="AZ98" i="5"/>
  <c r="AZ96" i="5" s="1"/>
  <c r="AY98" i="5"/>
  <c r="AX98" i="5"/>
  <c r="AW98" i="5"/>
  <c r="AV98" i="5"/>
  <c r="AT98" i="5" s="1"/>
  <c r="AU98" i="5"/>
  <c r="AU96" i="5" s="1"/>
  <c r="AU94" i="5" s="1"/>
  <c r="AS96" i="5"/>
  <c r="AS94" i="5"/>
  <c r="AM90" i="5"/>
  <c r="L90" i="5"/>
  <c r="AM89" i="5"/>
  <c r="L89" i="5"/>
  <c r="AM87" i="5"/>
  <c r="L87" i="5"/>
  <c r="L85" i="5"/>
  <c r="L84" i="5"/>
  <c r="G43" i="3"/>
  <c r="G42" i="3"/>
  <c r="G41" i="3"/>
  <c r="G40" i="3"/>
  <c r="G39" i="3"/>
  <c r="G36" i="3"/>
  <c r="G35" i="3"/>
  <c r="G34" i="3"/>
  <c r="G4" i="3"/>
  <c r="G35" i="2"/>
  <c r="G34" i="2"/>
  <c r="G33" i="2"/>
  <c r="G32" i="2"/>
  <c r="G31" i="2"/>
  <c r="G30" i="2"/>
  <c r="G20" i="2"/>
  <c r="G18" i="2"/>
  <c r="G17" i="2"/>
  <c r="G15" i="2"/>
  <c r="G13" i="2"/>
  <c r="G12" i="2"/>
  <c r="G11" i="2"/>
  <c r="G10" i="2"/>
  <c r="G9" i="2"/>
  <c r="G6" i="2"/>
  <c r="G5" i="2"/>
  <c r="G4" i="2"/>
  <c r="G17" i="3" l="1"/>
  <c r="E20" i="3"/>
  <c r="G16" i="3"/>
  <c r="G19" i="3"/>
  <c r="G46" i="6"/>
  <c r="AG95" i="5" s="1"/>
  <c r="AN95" i="5" s="1"/>
  <c r="AW96" i="5"/>
  <c r="BA94" i="5"/>
  <c r="AY96" i="5"/>
  <c r="BC94" i="5"/>
  <c r="AY94" i="5" s="1"/>
  <c r="BB94" i="5"/>
  <c r="AZ94" i="5"/>
  <c r="AV96" i="5"/>
  <c r="AT96" i="5" s="1"/>
  <c r="G15" i="3"/>
  <c r="G14" i="2"/>
  <c r="G16" i="2"/>
  <c r="G36" i="2" l="1"/>
  <c r="AG96" i="5" s="1"/>
  <c r="AN96" i="5" s="1"/>
  <c r="G20" i="3"/>
  <c r="G45" i="3" s="1"/>
  <c r="AG97" i="5" s="1"/>
  <c r="AN97" i="5" s="1"/>
  <c r="AW94" i="5"/>
  <c r="AK30" i="5" s="1"/>
  <c r="W30" i="5"/>
  <c r="W32" i="5"/>
  <c r="W31" i="5"/>
  <c r="AX94" i="5"/>
  <c r="W29" i="5"/>
  <c r="AV94" i="5"/>
  <c r="AT94" i="5" l="1"/>
  <c r="AK29" i="5"/>
  <c r="AG94" i="5" l="1"/>
  <c r="AK26" i="5" l="1"/>
  <c r="AK35" i="5" s="1"/>
  <c r="AN94" i="5"/>
</calcChain>
</file>

<file path=xl/sharedStrings.xml><?xml version="1.0" encoding="utf-8"?>
<sst xmlns="http://schemas.openxmlformats.org/spreadsheetml/2006/main" count="1057" uniqueCount="411">
  <si>
    <t>č. pol.</t>
  </si>
  <si>
    <t>mj.</t>
  </si>
  <si>
    <t>množství</t>
  </si>
  <si>
    <t>popis</t>
  </si>
  <si>
    <t>j. cena</t>
  </si>
  <si>
    <t>cena celkem</t>
  </si>
  <si>
    <t>m3</t>
  </si>
  <si>
    <t>m</t>
  </si>
  <si>
    <t>ks</t>
  </si>
  <si>
    <t>m2</t>
  </si>
  <si>
    <t>CELKEM</t>
  </si>
  <si>
    <t>kpl</t>
  </si>
  <si>
    <t>Čerpání vody</t>
  </si>
  <si>
    <t>výpočet</t>
  </si>
  <si>
    <t>Zařízení staveniště</t>
  </si>
  <si>
    <t>Geodet před, při a po</t>
  </si>
  <si>
    <t>Vytyčení sítí</t>
  </si>
  <si>
    <t>DSP</t>
  </si>
  <si>
    <t>Úprava a úklid staveniště po pracích</t>
  </si>
  <si>
    <t>Geolog + statik</t>
  </si>
  <si>
    <t>Úklid komunikací</t>
  </si>
  <si>
    <t>ČSOV Černý Vůl - Statenice</t>
  </si>
  <si>
    <t xml:space="preserve">SO 01 - Stavební část </t>
  </si>
  <si>
    <t>SO 01 - Vodovodní přípojka</t>
  </si>
  <si>
    <t>PS 01 - Technologická část ČSOV</t>
  </si>
  <si>
    <t>Export Komplet</t>
  </si>
  <si>
    <t/>
  </si>
  <si>
    <t>2.0</t>
  </si>
  <si>
    <t>False</t>
  </si>
  <si>
    <t>{6becfa29-88e9-4a17-bb54-f3b31452b119}</t>
  </si>
  <si>
    <t>&gt;&gt;  skryté stoupce &lt;&lt;</t>
  </si>
  <si>
    <t>0,01</t>
  </si>
  <si>
    <t>20</t>
  </si>
  <si>
    <t>REKAPITULACE STAVBY</t>
  </si>
  <si>
    <t>v ---  nižšie sa nachádzajú doplnkové a pomocné údaje k zostavám  --- v</t>
  </si>
  <si>
    <t>Návod na vyplnění</t>
  </si>
  <si>
    <t>0,001</t>
  </si>
  <si>
    <t>Kód: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</si>
  <si>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</si>
  <si>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</si>
  <si>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</si>
  <si>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</si>
  <si>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</si>
  <si>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Datum:</t>
  </si>
  <si>
    <t>Zadavatel:</t>
  </si>
  <si>
    <t>IČ:</t>
  </si>
  <si>
    <t>DIČ:</t>
  </si>
  <si>
    <t>Uchazeč:</t>
  </si>
  <si>
    <t>Projektant:</t>
  </si>
  <si>
    <t xml:space="preserve"> Ing. Ľubomír Charvát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</si>
  <si>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</si>
  <si>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</si>
  <si>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</si>
  <si>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</si>
  <si>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</si>
  <si>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</si>
  <si>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</si>
  <si>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</si>
  <si>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</si>
  <si>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</si>
  <si>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</si>
  <si>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prenesená</t>
  </si>
  <si>
    <t>zníž. prenesená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</si>
  <si>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</si>
  <si>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</si>
  <si>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</si>
  <si>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</si>
  <si>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</si>
  <si>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</si>
  <si>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</si>
  <si>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</si>
  <si>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</si>
  <si>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</si>
  <si>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Zadavatel</t>
  </si>
  <si>
    <t>Informatívne údaje z listov zákaziek</t>
  </si>
  <si>
    <t>Kód</t>
  </si>
  <si>
    <t>Popis</t>
  </si>
  <si>
    <t>Cena bez DPH [CZK]</t>
  </si>
  <si>
    <t>Cena s DPH [CZK]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</si>
  <si>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</si>
  <si>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</si>
  <si>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</si>
  <si>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</si>
  <si>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</si>
  <si>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</si>
  <si>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</si>
  <si>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</si>
  <si>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</si>
  <si>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</si>
  <si>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</si>
  <si>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</si>
  <si>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</si>
  <si>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rozpočtů</t>
  </si>
  <si>
    <t>0</t>
  </si>
  <si>
    <t>STA</t>
  </si>
  <si>
    <t>/</t>
  </si>
  <si>
    <t>PS 02 – PROVOZNÍ ROZVOD SILNOPROUDU</t>
  </si>
  <si>
    <t>Časť</t>
  </si>
  <si>
    <t>22/008</t>
  </si>
  <si>
    <t>Rekonstrukce, rozšíření ČSOV Černý Vůl v obci Statenice</t>
  </si>
  <si>
    <t>Statenice</t>
  </si>
  <si>
    <t>Obec Statenice</t>
  </si>
  <si>
    <t>SO 01 – STAVEBNÍ ČÁST</t>
  </si>
  <si>
    <t>SO 02 - VODOVODNÍ PŘÍPOJKA</t>
  </si>
  <si>
    <t>PS 01 – TECHNOLOGIE ČSOV</t>
  </si>
  <si>
    <t>1.1</t>
  </si>
  <si>
    <t>1.2</t>
  </si>
  <si>
    <t>1.3</t>
  </si>
  <si>
    <t>1.4</t>
  </si>
  <si>
    <r>
      <t xml:space="preserve">Záplavové kalové čerpadlo se šroubovým odstředivým kolem
</t>
    </r>
    <r>
      <rPr>
        <sz val="12"/>
        <color theme="1"/>
        <rFont val="Calibri"/>
        <family val="2"/>
        <charset val="238"/>
        <scheme val="minor"/>
      </rPr>
      <t>Umístění do mokré jímky s rozběhem pomocí FM. Q = 6 l/s, H =45 m v. sl. Příruba výtlak DN80 PN16, Průchodnost 50 mm, Počet otáček 2900 ot. /min, Jmenovitý výkon 11kW a proud 23 A, motor 400 V, 50 Hz. S mechanickou ucpávkou. Včetně vlhkostní sondy, tepelná ochraně vinutí termistorem, 10 m napájecího kabelu. 
Dále včetně spouštěcího zařízení z 2 ks nerezových trubek 1 1/2“ délky 6 m, patkového kolena, montážního materiálu, spouštěcího řetězu pro vyjímání čerpadla, horního držáku spouštěcího zařízení.</t>
    </r>
  </si>
  <si>
    <t>2.1</t>
  </si>
  <si>
    <t>2.2</t>
  </si>
  <si>
    <t>2.3</t>
  </si>
  <si>
    <t>Zpětná klapka DN80, PN 10-16 s koulí, měkkotěsnící, spojovací šrouby z nerezoceli</t>
  </si>
  <si>
    <t>2.4</t>
  </si>
  <si>
    <t>Zdvihací zařízení otočné nosnost 300 kg, provedení pozinkované, naviják s brzdou a patka pro přenosné otočné zvedací zařízení, vyložení nastavitelné 0,5 – 1,1 m, provedení ocel tř. 11, žárově zinkovaná včetně připevnění do betonové zákrytové desky</t>
  </si>
  <si>
    <t>2.5</t>
  </si>
  <si>
    <t>2.6</t>
  </si>
  <si>
    <t>2.7</t>
  </si>
  <si>
    <t>2.8</t>
  </si>
  <si>
    <t>2.9</t>
  </si>
  <si>
    <t>3.1</t>
  </si>
  <si>
    <t>3.2</t>
  </si>
  <si>
    <t>3.3</t>
  </si>
  <si>
    <t>Mezipřírubové nožové šoupátko DN80, PN 10-16, oboustranně těsnící, spojovací šrouby z nerezoceli, ovládání ručním kolem</t>
  </si>
  <si>
    <t>Mezipřírubové nožové šoupátko DN65, PN 10-16, oboustranně těsnící, spojovací šrouby z nerezoceli, ovládání ručním kolem</t>
  </si>
  <si>
    <t>Montáže a zhotovení potrubních tras vč. uložení</t>
  </si>
  <si>
    <t>Zaškolení obsluhy</t>
  </si>
  <si>
    <t>Montáž strojů a zařízení</t>
  </si>
  <si>
    <t>Uvedení do provozu, zkušební provoz</t>
  </si>
  <si>
    <t>Ostatní práce</t>
  </si>
  <si>
    <t>Staveništní a mimostavebništní doprava</t>
  </si>
  <si>
    <t>Likvidace vzniklého odpadu</t>
  </si>
  <si>
    <t>Tlaková zkouška</t>
  </si>
  <si>
    <t>Pažení</t>
  </si>
  <si>
    <t>Dopravní značení</t>
  </si>
  <si>
    <t>Zajištění jámy</t>
  </si>
  <si>
    <t>Obnovení povrhu komunikací</t>
  </si>
  <si>
    <t>Zásyp rýhy stěrkodrť frakce 0-32 (hutněný)</t>
  </si>
  <si>
    <t>dle potřeby</t>
  </si>
  <si>
    <t>Infiltrační postřik z ASF 1,5 kg/m2</t>
  </si>
  <si>
    <t>Beton asfaltový ACP 16+, tl.70mm</t>
  </si>
  <si>
    <t>kg</t>
  </si>
  <si>
    <t>4.1</t>
  </si>
  <si>
    <t>4.2</t>
  </si>
  <si>
    <t>4.3</t>
  </si>
  <si>
    <t>4.4</t>
  </si>
  <si>
    <r>
      <rPr>
        <b/>
        <sz val="12"/>
        <color theme="1"/>
        <rFont val="Calibri"/>
        <family val="2"/>
        <charset val="238"/>
        <scheme val="minor"/>
      </rPr>
      <t>Zařízení pro těžení štěrku a pístu TŠP-K-E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u/>
        <sz val="12"/>
        <color theme="1"/>
        <rFont val="Calibri"/>
        <family val="2"/>
        <charset val="238"/>
        <scheme val="minor"/>
      </rPr>
      <t xml:space="preserve">Sloupový jeřáb	</t>
    </r>
    <r>
      <rPr>
        <sz val="12"/>
        <color theme="1"/>
        <rFont val="Calibri"/>
        <family val="2"/>
        <charset val="238"/>
        <scheme val="minor"/>
      </rPr>
      <t xml:space="preserve">
   otáčení na výložníku	strojní: (0,18kW)
   výška sloupu /mm: 4000
   délka výložníku /mm/ - od osy otáčení: 3500
   nosnost /kg: 	250
   akční radius /°: 	260°
   betonový základ /mm: 	1200×1200×800
   kotevní šrouby /ks/, šablona	4+ šablona
</t>
    </r>
    <r>
      <rPr>
        <u/>
        <sz val="12"/>
        <color theme="1"/>
        <rFont val="Calibri"/>
        <family val="2"/>
        <charset val="238"/>
        <scheme val="minor"/>
      </rPr>
      <t>Dvoulžicový drapák</t>
    </r>
    <r>
      <rPr>
        <sz val="12"/>
        <color theme="1"/>
        <rFont val="Calibri"/>
        <family val="2"/>
        <charset val="238"/>
        <scheme val="minor"/>
      </rPr>
      <t xml:space="preserve">	
   objem /l: 50
   hydraulický pohon /kW: 1,5
   bubnový navíječ hadic:	 ano
</t>
    </r>
    <r>
      <rPr>
        <u/>
        <sz val="12"/>
        <color theme="1"/>
        <rFont val="Calibri"/>
        <family val="2"/>
        <charset val="238"/>
        <scheme val="minor"/>
      </rPr>
      <t xml:space="preserve">Elektrický kladkostroj-řetězový	</t>
    </r>
    <r>
      <rPr>
        <sz val="12"/>
        <color theme="1"/>
        <rFont val="Calibri"/>
        <family val="2"/>
        <charset val="238"/>
        <scheme val="minor"/>
      </rPr>
      <t xml:space="preserve">
   nosnost /kg:	 250
   s pojezdem na výložníku /kW: 	0,04+1,1 
   zdvih /m:	  max 8</t>
    </r>
  </si>
  <si>
    <t>Štěrkopískový podsyp a lože fr.0-4 (450mmm)</t>
  </si>
  <si>
    <t>Přesun na skládku do 5km</t>
  </si>
  <si>
    <t>Uložení vytěžené kubatury (zeminy) na skládku</t>
  </si>
  <si>
    <t>Separační geotextilie 300g/m2</t>
  </si>
  <si>
    <t>Podkladní štěrková vrstva fr.16-32,min.tl.300mm</t>
  </si>
  <si>
    <t>Podkladní beton C20/25 tl.150mm</t>
  </si>
  <si>
    <t>Armování základu drapáku písku  - Ocel. kari síť 100x100x10, 4x vrstva, vč. distančních podložek pro min krití 45mm</t>
  </si>
  <si>
    <t>3.4</t>
  </si>
  <si>
    <t>Oplocení areálu, rozsah dle výkresu D.1.2.1.b) - 9</t>
  </si>
  <si>
    <t>Zpevněné plochy,rozsah dle výkresu D.1.2.1.b) - 8</t>
  </si>
  <si>
    <t>Zajištění a oplocení jámy</t>
  </si>
  <si>
    <t>Vnitrostaveništní a mimostavebništní doprava</t>
  </si>
  <si>
    <t>Výkop zpevněné plochy</t>
  </si>
  <si>
    <t>činost ČEZ Distribuce</t>
  </si>
  <si>
    <t>Doprava</t>
  </si>
  <si>
    <t>Revize</t>
  </si>
  <si>
    <t>Dokumentace + skutečné provedení</t>
  </si>
  <si>
    <t>Ostatní</t>
  </si>
  <si>
    <t>hod</t>
  </si>
  <si>
    <t>úpravy terénu</t>
  </si>
  <si>
    <t>pískové lože</t>
  </si>
  <si>
    <t>výkop pro kabely</t>
  </si>
  <si>
    <t>Výkopové a zemní práce</t>
  </si>
  <si>
    <t>Svorkovnice MET</t>
  </si>
  <si>
    <t>spojový materiál</t>
  </si>
  <si>
    <t>varovací páska</t>
  </si>
  <si>
    <t>Trubkka ochraná flexibilní 09063</t>
  </si>
  <si>
    <t>ER112/NKP7P jištění  B40A</t>
  </si>
  <si>
    <t>Pojistka nožová 63A gG PN00</t>
  </si>
  <si>
    <t>ostatní materiály</t>
  </si>
  <si>
    <t>svorka zemnící SR 02</t>
  </si>
  <si>
    <t>vodič CYA 16 laněný</t>
  </si>
  <si>
    <t>pásek FeZn 30x4</t>
  </si>
  <si>
    <t>CYKY-J 4x16</t>
  </si>
  <si>
    <t>CC MONTÁŽ</t>
  </si>
  <si>
    <t>JC MONTÁŽ</t>
  </si>
  <si>
    <t>CC</t>
  </si>
  <si>
    <t>JC</t>
  </si>
  <si>
    <t>Kabely- vodiče</t>
  </si>
  <si>
    <t>Výkaz výměr Přívodní vedení NN</t>
  </si>
  <si>
    <t>kabel koaxial s konektory 10m</t>
  </si>
  <si>
    <t>anténa</t>
  </si>
  <si>
    <t>Stožár 4 metry</t>
  </si>
  <si>
    <t>Radio stanice</t>
  </si>
  <si>
    <t>Koncový spínač</t>
  </si>
  <si>
    <t>Plovák MAC 3 10m</t>
  </si>
  <si>
    <t>Ultrazvukový snímač hladiny</t>
  </si>
  <si>
    <t>Instrumentace</t>
  </si>
  <si>
    <t>pkl</t>
  </si>
  <si>
    <t>Připojení stanice na dispečink</t>
  </si>
  <si>
    <t>Programování a nastavení systému</t>
  </si>
  <si>
    <t>podružný a spojový materiál</t>
  </si>
  <si>
    <t>Kovové konstrukce</t>
  </si>
  <si>
    <t>výkop pro technologickou kabeláž a uzemění</t>
  </si>
  <si>
    <t>Výkopové práce</t>
  </si>
  <si>
    <t>Krabice instalační</t>
  </si>
  <si>
    <t>Příchytka trubky 20mm</t>
  </si>
  <si>
    <t>Trubka instalační, tuhá 20mm</t>
  </si>
  <si>
    <t>Svorkovnice hlavního pospojení</t>
  </si>
  <si>
    <t>Zářivkové svítidlo 2x36W/ IP65</t>
  </si>
  <si>
    <t>vypínač IP 44 řazení 1</t>
  </si>
  <si>
    <t>zásuvka IP 44 400V-32A-5P</t>
  </si>
  <si>
    <t>zásuvka IP44 230V-16A</t>
  </si>
  <si>
    <t>Svítidlo 18W 4000/840</t>
  </si>
  <si>
    <t>Elektroinstalace</t>
  </si>
  <si>
    <t>H07V-K 6</t>
  </si>
  <si>
    <t>H07V-K 16</t>
  </si>
  <si>
    <t>CY</t>
  </si>
  <si>
    <t>JYTY-O 7x1</t>
  </si>
  <si>
    <t>JYTY-O 4x1</t>
  </si>
  <si>
    <t>JYTY-O 2x1</t>
  </si>
  <si>
    <t>JYTY</t>
  </si>
  <si>
    <t>CYKY-J 4x6</t>
  </si>
  <si>
    <t>H07RN-F 3x0,75</t>
  </si>
  <si>
    <t>CYKY-J 5x6</t>
  </si>
  <si>
    <t>CYKY-J 5x4</t>
  </si>
  <si>
    <t>CYKY-J 3x2,5</t>
  </si>
  <si>
    <t>CYKY-O 3x1,5</t>
  </si>
  <si>
    <t>CYKY-J 3x1,5</t>
  </si>
  <si>
    <t>CYKY-J 4X16</t>
  </si>
  <si>
    <t>CYKY</t>
  </si>
  <si>
    <t>Kabely -vodiče</t>
  </si>
  <si>
    <t>Trubka ohebná 63mm</t>
  </si>
  <si>
    <t>Trasy</t>
  </si>
  <si>
    <t>MX-C</t>
  </si>
  <si>
    <t>MX-S</t>
  </si>
  <si>
    <t>Rozvaděč RČ-1</t>
  </si>
  <si>
    <t>Dodávky</t>
  </si>
  <si>
    <t>Výkaz výměr technologie ČSOV</t>
  </si>
  <si>
    <t>Zpracování provozního předpisu ČSOV</t>
  </si>
  <si>
    <t>Zpracování projektu skutečného stavu ČSOV</t>
  </si>
  <si>
    <t>Výstražná folie, bílá š. 300 mm, nápis voda</t>
  </si>
  <si>
    <t>Vytyčovací vodič CYY 4 mm2</t>
  </si>
  <si>
    <t xml:space="preserve">Tlakoměrná sestava:
-	1ks manometr (tlakoměr) průměr 63 mm, spodní připojení G 1/2“, rozsah 0-10 bar, 
-	1ks návarek (nipl) 1/2“ vnější závit - nerez 
-	1ks kulový kohout 1/2“ 2x vnitřní závit - nerez </t>
  </si>
  <si>
    <t>2.10</t>
  </si>
  <si>
    <t>2.11</t>
  </si>
  <si>
    <t>Montážní vložka DN80, PN 10/16, medium: odpadní voda</t>
  </si>
  <si>
    <t>3.5</t>
  </si>
  <si>
    <t>Ventilátorová jednotka – armaturní komora
-	1ks Ventilátor pro kruhové potrubí ø125 (diagonální) vertikální montáž, Průtok min. 250m3/h při pst 100 Pa, Krytí IP44, plastová skříň, Napájení 230V, Hlučnost do 60dB(A), kotevní silentbloky, ochranná mřížka sání
-	1ks Rychloupínací spona ø125 (pružná manžeta pro montáž a demontáž ventilátoru) 
-	1kpl Konzoly z nerezoceli, kotvené nerezovými kotvami do betonu a ostatní uchycovací materiál
-	1ks Protidešťová žaluzie 200x200 se sítem, pozink nebo hliník
-	1ks Plechová servisní dvířka pro otvor v. 1000 mm, š. 600 mm, s povrchovou úpravou a zámkem
-	1ks Ochranná mřížka výtlaku pro potrubí ø125 mm na výstupu z pilířku</t>
  </si>
  <si>
    <t>Ventilátorová jednotka – Čerpací jímka
-	1ks Ventilátor pro kruhové potrubí ø160 (radiální) vertikální montáž, Průtok min. 620m3/h při pst 100 Pa, Krytí IP44, plastová skříň, Napájení 230V, Hlučnost do 60dB(A), kotevní silentbloky, ochranná mřížka sání
-	1ks Protidešťová žaluzie v.280 x š.200mm se sítem, pozink nebo hliník
-	1ks Rychloupínací spona ø160 (pružná manžeta pro montáž a demontáž ventilátoru) 
-	1kpl Konzoly z nerezoceli, kotvené nerezovými kotvami do betonu a ostatní uchycovací materiál
-	1ks Protidešťová žaluzie v.280 x š.200mm se sítem, pozink nebo hliník
-	1ks Plechová servisní dvířka pro otvor v. 1000 mm, š. 600 mm, s povrchovou úpravou a zámkem
-	1ks Ochranná mřížka výtlaku pro potrubí ø160 mm na výstupu z pilířku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</si>
  <si>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</si>
  <si>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</si>
  <si>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</si>
  <si>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</si>
  <si>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</si>
  <si>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</si>
  <si>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</si>
  <si>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</si>
  <si>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</si>
  <si>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</si>
  <si>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</si>
  <si>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Trubka ohebná 100mm</t>
  </si>
  <si>
    <t xml:space="preserve">Pomocný materiál </t>
  </si>
  <si>
    <t>Stožárový základ</t>
  </si>
  <si>
    <t>Elektroda zaplavení armaturní komory</t>
  </si>
  <si>
    <t>Základna pro stožár</t>
  </si>
  <si>
    <t>Bourací práce v rozsah popisu technické zprávy D.1.2.1.a) - bod 1.8</t>
  </si>
  <si>
    <t>Výkop rýhy pažený š. 0,6 m; hloubka cca 1,4 m</t>
  </si>
  <si>
    <t>80*0,6*1,4</t>
  </si>
  <si>
    <t>80*0,6*0,45</t>
  </si>
  <si>
    <t>80*0,88*0,6</t>
  </si>
  <si>
    <t>70x0,6x1,5</t>
  </si>
  <si>
    <t>70x0,6x0,07</t>
  </si>
  <si>
    <t>80*1,5*2</t>
  </si>
  <si>
    <t>Navrtávací pas HAKU 110-2" č.5250</t>
  </si>
  <si>
    <t>Univerzální podkladová deska č.3481</t>
  </si>
  <si>
    <t>Uliční poklop těžký “voda“ č.1650</t>
  </si>
  <si>
    <t>Fakturační vodoměr, jmenovitá světlost DN40 s připojovací rozměry 6/4“, stavební délka 300 mm, jmenovitý průtok Q3 16 m3/h, s elektronickým impulzním modulem zajištujícím vzdálenou komunikaci a přenos dat</t>
  </si>
  <si>
    <t xml:space="preserve">Vodoměrná sestava pro vodoměr DN40,s připojovací rozměry 6/4“, stavební délka 300 mm, jmenovitý průtok Q3 16 m3/h, se šroubením, šoupátky, zpětnou klapkou  </t>
  </si>
  <si>
    <t>Chránička DN 150</t>
  </si>
  <si>
    <t>1ks Regulátor tlaku 6/4"
1ks Šikmý filtr 6/4"
1ks potrubní oddělovač s příslušnými uzávěry 6/4"</t>
  </si>
  <si>
    <t>Dvouvrstvé potrubí PE100RC; SDR11; d63x5,8</t>
  </si>
  <si>
    <r>
      <t xml:space="preserve">Česle na přelivovou hranu
</t>
    </r>
    <r>
      <rPr>
        <sz val="11"/>
        <rFont val="Calibri"/>
        <family val="2"/>
        <charset val="238"/>
        <scheme val="minor"/>
      </rPr>
      <t>Maximální průtočné množství      		Qmax  =  120  l/s  
 - při zatížení odpadní vody do      		NL  =  350  mg/l   
Průměr síta         			 	D  =  300  mm   
Jemnost kruhových / podélných průlin    	e  =  6   mm   
Účinná délka síta 				L  = 1250 mm 
Úhel instalace     				=    60  stupňů 
Výkon motoru 					P  =  1,1 kW 
Krytí motoru    					IP 68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Ostřik česlí	      Q= 5 m3/h, popt = 5-7 bar, připoj.  1 ¼“</t>
    </r>
  </si>
  <si>
    <t>1.5</t>
  </si>
  <si>
    <t xml:space="preserve">Indukční průtokoměr DN80, PN 10/16, Přírubový, Měřené medium: splašková voda - výstelka odolná proti abrazi agresivitě prostředí, s detekcí prázdného potrubí s napájením 24 VDC s ochranou proti přepólování, krytí snímače IP 67, krytí vyhodnocovací jednotky IP 66, výstup proudový 4 - 20 mA, Průtokoměr je fakturačním měřidlem, pulzní, limitní, ukazatel průtoku a nasčítaného množství, rozsah měření 0,01-12m/s, přesnost měření do 0,5%. Oddělaná zobrazovací jednotka včetně konzoly pro připevnění vyhodnocovací jednotky na stěnu a kotevního materiálu. </t>
  </si>
  <si>
    <t>2.12</t>
  </si>
  <si>
    <t>2.13</t>
  </si>
  <si>
    <t>Vřetenové šoupátko 400x400 (XL4), čtyřstranně těsnící, k připevnění na stěnu, materiál: nerez 1.4301, pryž EPDM, tlak do 6 mvs na přední a zadní stranu, včetně chemických kotev. Dále s ovládací sestava AP1 pro ovládání T-klíčem, připojení vřetene: 16x16 mm Materiál: nerez 1.4301</t>
  </si>
  <si>
    <t>Vřetenové šoupátko 400x400 (CP3), třístranně těsnící, Rozměry (šxv) mm 400x900 mm, Materiál Nerezová ocel 1.4301, Těsnění v rámu, z EPDM odolného odpadním vodám a UV záření. Ukotvení po stranách k zabetonování do drážek š x h = 180 x 70 mm, Ukotvení dole k zabetonování do drážek š x h = 180 x 70 mm, Max. tlak VS na přední a zadní stranu 900 mm, Zdvih 900 mm, Hloubka zabudování 1650 mm, Výška ovládání 900 mm, Typ rámu uzavřený rám, Vřeteno nestoupající vřeteno, Těsnění rámu na stěně EPDM, Použití otevřeno/zavřeno, Ovládání ruční kolo d=400 mm, vnitřní čtyřhran 16x16mm</t>
  </si>
  <si>
    <t>Přírubový mezikus jako náhrada průtokoměru po dobu vyjmutí z průtokoměrné sestavy. Připojovací rozměry DN80, PN 10/16, délka dle délky indukčního průtokoměru pol.2.9</t>
  </si>
  <si>
    <t>Plechová vložka vnitřního prostoru lapáku písku.
	Zhotovená z nerezového plechu tl.4 mm, celková plocha cca 20m2, s 3ks otvoru pro potrubí DN400, včetně kotvení. Poz: konečné rozměry určit po odlití betonu lapáku písku</t>
  </si>
  <si>
    <t>3.6</t>
  </si>
  <si>
    <t>3.7</t>
  </si>
  <si>
    <t xml:space="preserve">Dle dohody se stávajícím provozovatelem a vzhledem k limitovanému prostoru v areálu ČSOV budou využívány stávající malé kovové vanové kontejnery. 
Objem:5,5m3
Rozměry: 3500x1820x1100 mm	</t>
  </si>
  <si>
    <t>40*9</t>
  </si>
  <si>
    <t>77*0,7</t>
  </si>
  <si>
    <t>3,8*2,8*0,3</t>
  </si>
  <si>
    <t>3,5*2,5*0,15</t>
  </si>
  <si>
    <t>3,8*2,8</t>
  </si>
  <si>
    <t>Výkop pro vodoměrnou šachtu</t>
  </si>
  <si>
    <t>4,5*3,5*2,8</t>
  </si>
  <si>
    <t>(80*0,6*1,4)+(4,5*3,5*2,8)-(2,7*2,5*2,3)</t>
  </si>
  <si>
    <t xml:space="preserve">Vodoměrná šachta sestávající z:
- 1ks PREFABRIKOVANÁ AKUMULAČNÍ NÁDRŽ (ZATÍŽENÍ D400) 2,4x1,4x1,93M
- 1ks PREFABRIKOVANÁ ZKRYTOVÁ DESKA 2,68x1,68x0,25M
- 1ks Nerezový žebřík s vnitřní šířkou 400 mm, délkou 1,7 m, s výsuvným rámovým madlem, s protiskluzovými děrovanými příčlemi a příslušným kotevním materiálem. 
- 1ks Nerezového poklopu s rámem		</t>
  </si>
  <si>
    <t>Výkop jámy uvnitř pažení + výkop pro kanál+ výkop na potrubní rozvod DN300 a PEd90</t>
  </si>
  <si>
    <t>(((10,2*4,8*5,8)+(3,1*3,1*4)+(22*2,7)+(2,1*2,1*1,1))+(0,6*1,4*21))-54</t>
  </si>
  <si>
    <t>77*1,2</t>
  </si>
  <si>
    <t>(42+22+9+4,5)*0,15</t>
  </si>
  <si>
    <t>(38+20+7+4)*0,25</t>
  </si>
  <si>
    <t>((42+22+9+4,5)*1,2)*0,3</t>
  </si>
  <si>
    <t>Zábradlí z nerezi: 
- jekl 40x40x2 - 18m
- plech 120x60x6mm - 4ks
- kotevní materiál - 1kpl</t>
  </si>
  <si>
    <t>Pochozí kompozitní rošt v.38mm, včetně nosných konstrukcí, plocha 7,6m2</t>
  </si>
  <si>
    <t>Armování základové desky  - Ocel. kari síť 100x100x8, 2x vrstva, vč. distančních podložek pro min krití 45mm (lapak,kanal,ČS,arm.komoru)</t>
  </si>
  <si>
    <t>38+20+7</t>
  </si>
  <si>
    <t>(17+21)*0,6*0,45</t>
  </si>
  <si>
    <t>(17+21)*1*0,6</t>
  </si>
  <si>
    <t>Štěrkopískový podsyp a lože fr.0-4 (450mmm) pro potrubí gravitace DN400 a výtlaku d90</t>
  </si>
  <si>
    <t>Zásyp rýhy stěrkodrť frakce 0-32 (hutněný) pro potrubí gravitace DN400 a výtlaku d90</t>
  </si>
  <si>
    <t>Základová deska beton C20/25 XA1, tl.250mm oc. kari síť 100x100x8 při horním i dolním okraci, nim krytí 45mm(pod lapak,kanal,drapák,ČS,arm.komoru)</t>
  </si>
  <si>
    <t>Zděný pilíř z prefabrikovaných hladkých tvarovek face block HX2/19/A, Půdorysní rozměry 800x1000mm, výška 2200mm, zastřešení prefabrikovaná deska 1200x1000mm, obdelníkový otvor pro montáž dvířek 1000x600mm, otvor pro sací mřížku</t>
  </si>
  <si>
    <t>CYKY-J 5x2,5</t>
  </si>
  <si>
    <r>
      <rPr>
        <b/>
        <sz val="12"/>
        <rFont val="Calibri"/>
        <family val="2"/>
        <charset val="238"/>
        <scheme val="minor"/>
      </rPr>
      <t>Šnekové česle s integrovaným lisem na shrabky</t>
    </r>
    <r>
      <rPr>
        <sz val="12"/>
        <rFont val="Calibri"/>
        <family val="2"/>
        <charset val="238"/>
        <scheme val="minor"/>
      </rPr>
      <t xml:space="preserve">
Maximální průtočné množství      	Qmax  =  do 30  l/s  
 - při zatížení odpadní vody do      		NL  =  350  mg/l   
Průměr síta         			 	D  =  300  mm   
Jemnost kruhových / podélných průlin    	e  =  6   mm   
Redukce vody ve shrabkách na cca.     		 =  35  % podíl suchých shrabků   
Zvolený sklon instalace (v rozmezí 35-48°)	α  =  45°
Délka šnekových česlí       			L  =  6 700  mm   
Výška výsypu nad horní hranou kanálu a = 1450  mm   
Hloubka kanálu        				t  =  1700  mm   
Max. hladina před zařízením      			w  =  460  mm   
Průměr tubusu          				d  =  273   mm     
Příkon motoru česlí       		P  =  1,1   kW</t>
    </r>
  </si>
  <si>
    <r>
      <rPr>
        <b/>
        <sz val="12"/>
        <rFont val="Calibri"/>
        <family val="2"/>
        <charset val="238"/>
        <scheme val="minor"/>
      </rPr>
      <t>Česle ruční 400×1700×40/60°</t>
    </r>
    <r>
      <rPr>
        <sz val="12"/>
        <rFont val="Calibri"/>
        <family val="2"/>
        <charset val="238"/>
        <scheme val="minor"/>
      </rPr>
      <t xml:space="preserve"> včetně děrovaného žlabu a hrabla. 
Děrovaný žlab na shrabky je vsazený do kanálu, následně je fixován ocelovými hmoždinkami k jeho horní hraně.
Materiálové provedení:	komplet z nerezové oceli 1.4301.
Šířka žlabu a česlí	B = 400 mm
Hloubka žlabu 	H = 1700 mm
Velikost průliny	e = 40 mm
Sklon	a = 60°</t>
    </r>
  </si>
  <si>
    <t>Betonová revizní šachta RŠ5A DN 1000, s litinovým poklopem, vyrovnávacím prstencem, šachtovým konusem, skužemi, šachtovým dnem a stupadly, hloubka 1,66m, 1x napojení stoky DN300, 1x napojení stoky DN400, 1x zaslepená přípojka DN150</t>
  </si>
  <si>
    <t>Havarijní plán</t>
  </si>
  <si>
    <t>Hutnící zkoušky</t>
  </si>
  <si>
    <t>Uložení suti na skládku po bouracích pracech</t>
  </si>
  <si>
    <t>Dílenská dokumentace</t>
  </si>
  <si>
    <t>Přesun na skládku do 5km vytěžené kubatury pol.27</t>
  </si>
  <si>
    <t>(4,5*2,8)+(122*0,7)+(18*5,3)+(9*2,3)+(13,5*2,1)+(1,5*0,8)+(3,6*3,4)</t>
  </si>
  <si>
    <r>
      <t xml:space="preserve">Nerezový žebřík s vnitřní šířkou 400 mm, </t>
    </r>
    <r>
      <rPr>
        <sz val="12"/>
        <color rgb="FF00B050"/>
        <rFont val="Calibri"/>
        <family val="2"/>
        <charset val="238"/>
        <scheme val="minor"/>
      </rPr>
      <t>délkou 1,7 m</t>
    </r>
    <r>
      <rPr>
        <sz val="12"/>
        <rFont val="Calibri"/>
        <family val="2"/>
        <charset val="238"/>
        <scheme val="minor"/>
      </rPr>
      <t xml:space="preserve">, s výsuvným rámovým madlem, s protiskluzovými děrovanými příčlemi a příslušným kotevním materiálem. </t>
    </r>
  </si>
  <si>
    <r>
      <t>Odvrt betonovou stěnou, typická délka odvrtu</t>
    </r>
    <r>
      <rPr>
        <sz val="12"/>
        <color rgb="FF00B050"/>
        <rFont val="Calibri"/>
        <family val="2"/>
        <charset val="238"/>
        <scheme val="minor"/>
      </rPr>
      <t xml:space="preserve"> 200 mm</t>
    </r>
    <r>
      <rPr>
        <sz val="12"/>
        <color theme="1"/>
        <rFont val="Calibri"/>
        <family val="2"/>
        <charset val="238"/>
        <scheme val="minor"/>
      </rPr>
      <t>, typický průměr odvrtu 180 mm. Vodotěsné segmentové těsnění sestávající z nerezoceli a pryže pro nerezové potrubí 84 mm. Zapravení odvrtu betonovou stěrkou.</t>
    </r>
  </si>
  <si>
    <r>
      <t>Potrubí DN 80 z nerezoceli 
- potrubí ø 84 x 2 mm – 13 m 
- oblouk nerez 90° R=1,5 84 x 2 mm - 6 ks
- T-kus 84 x 2 mm – 3 ks
- redukce 84/70 x 2 mm - 1 ks
- příruba přivařovací DN80, PN10/16 -</t>
    </r>
    <r>
      <rPr>
        <sz val="12"/>
        <color rgb="FF00B050"/>
        <rFont val="Calibri"/>
        <family val="2"/>
        <charset val="238"/>
        <scheme val="minor"/>
      </rPr>
      <t xml:space="preserve"> 18ks</t>
    </r>
    <r>
      <rPr>
        <sz val="12"/>
        <rFont val="Calibri"/>
        <family val="2"/>
        <charset val="238"/>
        <scheme val="minor"/>
      </rPr>
      <t xml:space="preserve">
- spoj. a těsnící materiál pro krátký spoj příruba/příruba, nerez, DN80 PN10/16 – </t>
    </r>
    <r>
      <rPr>
        <sz val="12"/>
        <color rgb="FF00B050"/>
        <rFont val="Calibri"/>
        <family val="2"/>
        <charset val="238"/>
        <scheme val="minor"/>
      </rPr>
      <t>10 kpl</t>
    </r>
    <r>
      <rPr>
        <sz val="12"/>
        <rFont val="Calibri"/>
        <family val="2"/>
        <charset val="238"/>
        <scheme val="minor"/>
      </rPr>
      <t xml:space="preserve">
- spoj. a těsnící materiál pro mezipřírubovou šoupě, nerez, DN80 PN10/16 – </t>
    </r>
    <r>
      <rPr>
        <sz val="12"/>
        <color rgb="FF00B050"/>
        <rFont val="Calibri"/>
        <family val="2"/>
        <charset val="238"/>
        <scheme val="minor"/>
      </rPr>
      <t>8 kpl</t>
    </r>
    <r>
      <rPr>
        <sz val="12"/>
        <rFont val="Calibri"/>
        <family val="2"/>
        <charset val="238"/>
        <scheme val="minor"/>
      </rPr>
      <t xml:space="preserve">
- konzoly z nerezoceli, kotvené nerezovými kotvami do betonu - 1 kpl
Veškeré sváry na potrubí a pomocných kovových konstrukcích budou provedeny metodou TIG v ochranné atmosféře.
Závity spojů a třmenů budou ošetřeny přípravkem pro ošetření závitů nerezových šroubů. Každý přírubový spoj bude osazen 2 páry vějířových podložek pro zajištění vodivého pospojení.</t>
    </r>
  </si>
  <si>
    <r>
      <t xml:space="preserve">Potrubí DN 65 z nerezoceli - proplach
- potrubí ø70 x 2 mm – 2m 
- oblouk nerez 90° R=1,5 70 x 2 mm -2 ks
- příruba přivařovací DN65, PN10/16 - 2ks
- spoj. a těsnící materiál pro mezipřírubové šoupě, nerez, DN65 PN10/16 – </t>
    </r>
    <r>
      <rPr>
        <sz val="12"/>
        <color rgb="FF00B050"/>
        <rFont val="Calibri"/>
        <family val="2"/>
        <charset val="238"/>
        <scheme val="minor"/>
      </rPr>
      <t xml:space="preserve">2 kpl
</t>
    </r>
    <r>
      <rPr>
        <sz val="12"/>
        <rFont val="Calibri"/>
        <family val="2"/>
        <charset val="238"/>
        <scheme val="minor"/>
      </rPr>
      <t>- spojka B75, vnitřní závit 2 ½“, nerez – 1ks
- přechod (redukce) z připojení typu B na C – 1ks
- návarek vnější závit 2 ½“, nerez– 1ks
- konzoly z nerezoceli, kotvené nerezovými kotvami do betonu - 1 kpl
Veškeré sváry na potrubí a pomocných kovových konstrukcích budou provedeny metodou TIG v ochranné atmosféře.
Závity spojů a třmenů budou ošetřeny přípravkem pro ošetření závitů nerezových šroubů. Každý přírubový spoj bude osazen 2 páry vějířových podložek pro zajištění vodivého pospojení.</t>
    </r>
  </si>
  <si>
    <r>
      <rPr>
        <sz val="12"/>
        <rFont val="Calibri"/>
        <family val="2"/>
        <charset val="238"/>
        <scheme val="minor"/>
      </rPr>
      <t xml:space="preserve">Přechodové spojení, pro spojení nerez potrubí s přírubou DN80 PN10-16 a PE potrubím ø90mm, přechod tvoří:
</t>
    </r>
    <r>
      <rPr>
        <sz val="12"/>
        <color rgb="FF00B050"/>
        <rFont val="Calibri"/>
        <family val="2"/>
        <charset val="238"/>
        <scheme val="minor"/>
      </rPr>
      <t>- Točívá příruba s lemovým nákružkem DN80, PN10/16 nerez - 1ks</t>
    </r>
    <r>
      <rPr>
        <sz val="12"/>
        <rFont val="Calibri"/>
        <family val="2"/>
        <charset val="238"/>
        <scheme val="minor"/>
      </rPr>
      <t xml:space="preserve">
- spoj. a těsnící materiál pro krátký spoj příruba/příruba, nerez, DN80 PN10/16 – 1 kpl</t>
    </r>
  </si>
  <si>
    <r>
      <rPr>
        <sz val="12"/>
        <rFont val="Calibri"/>
        <family val="2"/>
        <charset val="238"/>
        <scheme val="minor"/>
      </rPr>
      <t xml:space="preserve">Potrubí rozvodu provozní vody PPR, PE – Vnitřní vodovod
- PPR potrubí ø40 x 5,5 mm – </t>
    </r>
    <r>
      <rPr>
        <sz val="12"/>
        <color rgb="FF00B050"/>
        <rFont val="Calibri"/>
        <family val="2"/>
        <charset val="238"/>
        <scheme val="minor"/>
      </rPr>
      <t xml:space="preserve">6m </t>
    </r>
    <r>
      <rPr>
        <sz val="12"/>
        <rFont val="Calibri"/>
        <family val="2"/>
        <charset val="238"/>
        <scheme val="minor"/>
      </rPr>
      <t xml:space="preserve">
- PPR potrubí ø32 x 4,4 mm – </t>
    </r>
    <r>
      <rPr>
        <sz val="12"/>
        <color rgb="FF00B050"/>
        <rFont val="Calibri"/>
        <family val="2"/>
        <charset val="238"/>
        <scheme val="minor"/>
      </rPr>
      <t>6m</t>
    </r>
    <r>
      <rPr>
        <sz val="12"/>
        <rFont val="Calibri"/>
        <family val="2"/>
        <charset val="238"/>
        <scheme val="minor"/>
      </rPr>
      <t xml:space="preserve"> 
- PPR tvarovky a přechodky pro 40 mm – 1kpl
- PPR tvarovky a přechodky pro 32 mm – 1kpl
- kulový ventil DN32 (5/4“) – 2ks
- kulový ventil DN25 (1“) – 2ks
</t>
    </r>
    <r>
      <rPr>
        <sz val="12"/>
        <color rgb="FF00B050"/>
        <rFont val="Calibri"/>
        <family val="2"/>
        <charset val="238"/>
        <scheme val="minor"/>
      </rPr>
      <t xml:space="preserve">- Trubka PE d40x3,7 – 15m
- PE přechod s vnějším závitem 40 x 6/4“ -1ks
- PE Koleno 90° 40mm - svěrná spojka na polyetylen -5ks
- PE spojka° 40x40 mm - svěrná spojka na polyetylen -5ks
</t>
    </r>
    <r>
      <rPr>
        <sz val="12"/>
        <rFont val="Calibri"/>
        <family val="2"/>
        <charset val="238"/>
        <scheme val="minor"/>
      </rPr>
      <t xml:space="preserve">- chránička ø100mm pro potrubí pro podzemní část potrubí – </t>
    </r>
    <r>
      <rPr>
        <sz val="12"/>
        <color rgb="FF00B050"/>
        <rFont val="Calibri"/>
        <family val="2"/>
        <charset val="238"/>
        <scheme val="minor"/>
      </rPr>
      <t xml:space="preserve">15m
</t>
    </r>
    <r>
      <rPr>
        <sz val="12"/>
        <rFont val="Calibri"/>
        <family val="2"/>
        <charset val="238"/>
        <scheme val="minor"/>
      </rPr>
      <t xml:space="preserve">- tepelná izolace s hliníkovou folií pro potrubí ø40 mm včetně samočinného vyhřívacího kabelu (pro   nadzemní část) </t>
    </r>
    <r>
      <rPr>
        <sz val="12"/>
        <color rgb="FF00B050"/>
        <rFont val="Calibri"/>
        <family val="2"/>
        <charset val="238"/>
        <scheme val="minor"/>
      </rPr>
      <t xml:space="preserve">6 m
</t>
    </r>
    <r>
      <rPr>
        <sz val="12"/>
        <rFont val="Calibri"/>
        <family val="2"/>
        <charset val="238"/>
        <scheme val="minor"/>
      </rPr>
      <t xml:space="preserve">- tepelná izolace s hliníkovou folií pro potrubí ø32 mm včetně samočinného vyhřívacího kabelu (pro    nadzemní část) </t>
    </r>
    <r>
      <rPr>
        <sz val="12"/>
        <color rgb="FF00B050"/>
        <rFont val="Calibri"/>
        <family val="2"/>
        <charset val="238"/>
        <scheme val="minor"/>
      </rPr>
      <t xml:space="preserve">6 m
</t>
    </r>
    <r>
      <rPr>
        <sz val="12"/>
        <rFont val="Calibri"/>
        <family val="2"/>
        <charset val="238"/>
        <scheme val="minor"/>
      </rPr>
      <t>- konzoly z nerezoceli, kotvené nerezovými kotvami do betonu - 1 kpl</t>
    </r>
    <r>
      <rPr>
        <sz val="12"/>
        <color rgb="FF00B050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- Odvrt betonovou stěnou </t>
    </r>
    <r>
      <rPr>
        <sz val="12"/>
        <color rgb="FF00B050"/>
        <rFont val="Calibri"/>
        <family val="2"/>
        <charset val="238"/>
        <scheme val="minor"/>
      </rPr>
      <t>(z vodoměrné šachty)</t>
    </r>
    <r>
      <rPr>
        <sz val="12"/>
        <rFont val="Calibri"/>
        <family val="2"/>
        <charset val="238"/>
        <scheme val="minor"/>
      </rPr>
      <t>, typická délka odvrtu 140 mm, typický průměr odvrtu 82 mm. Vodotěsné segmentové těsnění sestávající z nerezoceli a pryže pro PPR potrubí ø 40 mm - 1kpl</t>
    </r>
  </si>
  <si>
    <r>
      <t xml:space="preserve">Nerezový žebřík s vnitřní šířkou 400 mm, délkou </t>
    </r>
    <r>
      <rPr>
        <sz val="12"/>
        <color rgb="FF00B050"/>
        <rFont val="Calibri"/>
        <family val="2"/>
        <charset val="238"/>
        <scheme val="minor"/>
      </rPr>
      <t>4,3 m</t>
    </r>
    <r>
      <rPr>
        <sz val="12"/>
        <rFont val="Calibri"/>
        <family val="2"/>
        <charset val="238"/>
        <scheme val="minor"/>
      </rPr>
      <t xml:space="preserve">, s výsuvným rámovým madlem, s protiskluzovými děrovanými příčlemi a příslušným kotevním materiálem. </t>
    </r>
  </si>
  <si>
    <r>
      <t xml:space="preserve">Nerezová plotna dna pod čerpadly. Zhotovená z nerezového plechu tl.4 mm, Půdorysné </t>
    </r>
    <r>
      <rPr>
        <sz val="10"/>
        <color rgb="FF00B050"/>
        <rFont val="Arial"/>
        <family val="2"/>
        <charset val="238"/>
      </rPr>
      <t>rozměry: 2800x1000 mm</t>
    </r>
    <r>
      <rPr>
        <sz val="11"/>
        <color rgb="FF00B050"/>
        <rFont val="Calibri"/>
        <family val="2"/>
        <charset val="238"/>
        <scheme val="minor"/>
      </rPr>
      <t xml:space="preserve"> včetně kotvení. Poz: konečné rozměry určit po instalaci jímky</t>
    </r>
  </si>
  <si>
    <r>
      <t xml:space="preserve">Potrubí ventilace – KG systém	
- </t>
    </r>
    <r>
      <rPr>
        <sz val="12"/>
        <color rgb="FF00B050"/>
        <rFont val="Calibri"/>
        <family val="2"/>
        <charset val="238"/>
        <scheme val="minor"/>
      </rPr>
      <t>10 m</t>
    </r>
    <r>
      <rPr>
        <sz val="12"/>
        <rFont val="Calibri"/>
        <family val="2"/>
        <charset val="238"/>
        <scheme val="minor"/>
      </rPr>
      <t xml:space="preserve"> potrubí ø125 mm 
- </t>
    </r>
    <r>
      <rPr>
        <sz val="12"/>
        <color rgb="FF00B050"/>
        <rFont val="Calibri"/>
        <family val="2"/>
        <charset val="238"/>
        <scheme val="minor"/>
      </rPr>
      <t>4ks</t>
    </r>
    <r>
      <rPr>
        <sz val="12"/>
        <rFont val="Calibri"/>
        <family val="2"/>
        <charset val="238"/>
        <scheme val="minor"/>
      </rPr>
      <t xml:space="preserve"> oblouk 90° ø125 mm
- 1kpl konzoly z nerezoceli, kotvené nerezovými kotvami do betonu 
- 2kpl Odvrt betonovou stěnou, typická délka odvrtu 250 mm, typický průměr odvrtu ø 160 mm, pro KG potrubí ø 125 mm, utěsnění prostupu studniční pěnou </t>
    </r>
  </si>
  <si>
    <r>
      <t xml:space="preserve">Potrubí ventilace ø160 – KG systém	
- </t>
    </r>
    <r>
      <rPr>
        <sz val="12"/>
        <color rgb="FF00B050"/>
        <rFont val="Calibri"/>
        <family val="2"/>
        <charset val="238"/>
        <scheme val="minor"/>
      </rPr>
      <t>11m</t>
    </r>
    <r>
      <rPr>
        <sz val="12"/>
        <rFont val="Calibri"/>
        <family val="2"/>
        <charset val="238"/>
        <scheme val="minor"/>
      </rPr>
      <t xml:space="preserve"> potrubí ø160 mm 
- </t>
    </r>
    <r>
      <rPr>
        <sz val="12"/>
        <color rgb="FF00B050"/>
        <rFont val="Calibri"/>
        <family val="2"/>
        <charset val="238"/>
        <scheme val="minor"/>
      </rPr>
      <t>4ks</t>
    </r>
    <r>
      <rPr>
        <sz val="12"/>
        <rFont val="Calibri"/>
        <family val="2"/>
        <charset val="238"/>
        <scheme val="minor"/>
      </rPr>
      <t xml:space="preserve"> oblouk 90° 160 mm 
- 1kpl konzoly z nerezoceli, kotvené nerezovými kotvami do betonu 
- 2kpl Odvrt betonovou stěnou, typická délka odvrtu 250 mm, typický průměr odvrtu ø 200 mm pro KG potrubí ø 160 mm, utěsnění prostupu studniční pěnou </t>
    </r>
  </si>
  <si>
    <r>
      <t xml:space="preserve">Kombinované navrávací ISO šoupátko z POM č.2681 s výstupní ISO tvarovkou č.6221F </t>
    </r>
    <r>
      <rPr>
        <sz val="12"/>
        <color rgb="FF00B050"/>
        <rFont val="Calibri"/>
        <family val="2"/>
        <charset val="238"/>
        <scheme val="minor"/>
      </rPr>
      <t>pro PE d63</t>
    </r>
  </si>
  <si>
    <r>
      <t>Teleskop. zákopová souprava pro šoupátka délka 1-1,6m,</t>
    </r>
    <r>
      <rPr>
        <sz val="12"/>
        <color rgb="FF00B050"/>
        <rFont val="Calibri"/>
        <family val="2"/>
        <charset val="238"/>
        <scheme val="minor"/>
      </rPr>
      <t xml:space="preserve"> č.9601</t>
    </r>
  </si>
  <si>
    <r>
      <t>Odvrt betonovou stěnou, typická délka odvrtu 140 mm, typický průměr odvrtu</t>
    </r>
    <r>
      <rPr>
        <sz val="12"/>
        <color rgb="FF00B050"/>
        <rFont val="Calibri"/>
        <family val="2"/>
        <charset val="238"/>
        <scheme val="minor"/>
      </rPr>
      <t xml:space="preserve"> 108 mm.</t>
    </r>
    <r>
      <rPr>
        <sz val="12"/>
        <rFont val="Calibri"/>
        <family val="2"/>
        <charset val="238"/>
        <scheme val="minor"/>
      </rPr>
      <t xml:space="preserve"> Vodotěsné segmentové těsnění sestávající z nerezoceli a pryže pro PE potrubí </t>
    </r>
    <r>
      <rPr>
        <sz val="12"/>
        <color rgb="FF00B050"/>
        <rFont val="Calibri"/>
        <family val="2"/>
        <charset val="238"/>
        <scheme val="minor"/>
      </rPr>
      <t xml:space="preserve">ø 63 mm </t>
    </r>
  </si>
  <si>
    <r>
      <t xml:space="preserve">Objekt lapáku štěrku, prefabrikovaná jímka z betonu C30/37 XC3 XF3 XA1, vnější rozměry </t>
    </r>
    <r>
      <rPr>
        <sz val="12"/>
        <color rgb="FF00B050"/>
        <rFont val="Calibri"/>
        <family val="2"/>
        <charset val="238"/>
        <scheme val="minor"/>
      </rPr>
      <t>2,1x1,7x3,4m, vnitřní rozměry 1,6x1,2x3,1m, tl. stěny 250mm, spádové betony z C30/37 XC3 XF3 XA3 zastřeny nepružnou stěrkou tl.3,5mm</t>
    </r>
    <r>
      <rPr>
        <sz val="12"/>
        <rFont val="Calibri"/>
        <family val="2"/>
        <charset val="238"/>
        <scheme val="minor"/>
      </rPr>
      <t>, Vázaná výztuž při horním i dolním okraji 150kg/m3.</t>
    </r>
    <r>
      <rPr>
        <sz val="12"/>
        <color rgb="FF00B050"/>
        <rFont val="Calibri"/>
        <family val="2"/>
        <charset val="238"/>
        <scheme val="minor"/>
      </rPr>
      <t xml:space="preserve"> 3x plastová šachtová vložka DN400 s těsněním, trojnásobný nátěr na bázi silikátů z hydroizolačního materiálu Dryvom o tl.souvrství mn. 800μm, odstím 3xšedý</t>
    </r>
  </si>
  <si>
    <r>
      <t>Prefabrikovaný kanál ručních, šikmých a vodorovných čelí z  konstrukční beton C30/37 XC3 XF3 XA1 vázaná výztuž při horním i dolním okraji 150kg/m3,</t>
    </r>
    <r>
      <rPr>
        <sz val="12"/>
        <color rgb="FF00B050"/>
        <rFont val="Calibri"/>
        <family val="2"/>
        <charset val="238"/>
        <scheme val="minor"/>
      </rPr>
      <t xml:space="preserve"> vnitřní rozměry hl. dvou kanálů 0,4x6,2m, v. 1,6-1,62,</t>
    </r>
    <r>
      <rPr>
        <sz val="12"/>
        <rFont val="Calibri"/>
        <family val="2"/>
        <charset val="238"/>
        <scheme val="minor"/>
      </rPr>
      <t xml:space="preserve"> tl.stěny 0,25m a </t>
    </r>
    <r>
      <rPr>
        <sz val="12"/>
        <color rgb="FF00B050"/>
        <rFont val="Calibri"/>
        <family val="2"/>
        <charset val="238"/>
        <scheme val="minor"/>
      </rPr>
      <t>monoliticky připojeného přepadového kanálu 2,3x0,8, v. 2,1-2,4, tl.stěny 0,25m, 5 x plastová šachtová vložka DN400 s těsněním, spádové betony z C30/37 XC3 XF3 XA3 zastřeny nepružnou stěrkou tl.3,5mm, trojnásobný nátěr na bázi silikátů z hydroizolačního materiálu Dryvom o tl.souvrství mn. 800μm, odstím 3xšedý</t>
    </r>
  </si>
  <si>
    <t>Základ drapák štěrku, beton C30/37 XC3 XF3 XA1, Rozměry 1,2*1,2*0,8m, výztuže po obvodě základu (stěny, dno, strop),  vč. kabelové chráničky PE D110</t>
  </si>
  <si>
    <r>
      <t xml:space="preserve">Objekt čerpací stanice
</t>
    </r>
    <r>
      <rPr>
        <sz val="12"/>
        <color rgb="FF00B050"/>
        <rFont val="Calibri"/>
        <family val="2"/>
        <charset val="238"/>
        <scheme val="minor"/>
      </rPr>
      <t xml:space="preserve">- Prefabrikovaná zákrytová deska 3,2*5,7*0,25, otvor poklop R01, R02
- 1x Prefabrikované dno a nástavec 2,8*5,3*4,68m 
- 3x plastová šachtová vložka DN400 s těsněním
- Spádový beton dna tl.50-200/500mm z C30/37 XC3 XF3 XA3 zastřeny nepružnou stěrkou tl.3,5mm
- 1x nerezový poklop zapuštěný R01 800x800  
- 1x nerez rám pro R01 900x900 z  L50/50/2, uchycení do betonu
- 4x nerezový poklop zapuštěný - půlený, R02 650x550
- 2x nerez rám pro R02 750x1200 z  L50/50/2, uchycení do betonu
-  trojnásobný nátěr na bázi silikátů z hydroizolačního materiálu Dryvom o tl.souvrství mn. 800μm, odstím 3xšedý
- 26ks kotvy proti vzedmutí  
</t>
    </r>
  </si>
  <si>
    <r>
      <t xml:space="preserve">Objekt armaturní komory
</t>
    </r>
    <r>
      <rPr>
        <sz val="12"/>
        <color rgb="FF00B050"/>
        <rFont val="Calibri"/>
        <family val="2"/>
        <charset val="238"/>
        <scheme val="minor"/>
      </rPr>
      <t xml:space="preserve">- Prefabrikovaná zákrytová deska  3,2*2,8*0,25 , otvor poklop R03
- Prefabrikované dno 2,4*2,8*1,93m 
- Spádový beton dna tl. 50-100 mm z C30/37 XC3 XF3 XA3 zastřeny nepružnou stěrkou tl.3,5mm
- 1x nerezový poklop vyvýšený R03 800x800  
- 1x nerez rám pro R03 900x900 z  L50/50/2, uchycení do betonu 
- 8ks kotvy proti vzedmutí  
</t>
    </r>
  </si>
  <si>
    <r>
      <t>Gravitační propojení stavebních objektů potrubím PP</t>
    </r>
    <r>
      <rPr>
        <sz val="12"/>
        <color rgb="FF00B050"/>
        <rFont val="Calibri"/>
        <family val="2"/>
        <charset val="238"/>
        <scheme val="minor"/>
      </rPr>
      <t xml:space="preserve"> DN400 SN12</t>
    </r>
    <r>
      <rPr>
        <sz val="12"/>
        <rFont val="Calibri"/>
        <family val="2"/>
        <charset val="238"/>
        <scheme val="minor"/>
      </rPr>
      <t>, vč. ohybů</t>
    </r>
  </si>
  <si>
    <r>
      <t xml:space="preserve">Výtlačné potrubí PE100RC d90x8,2 SDR11, sestávající z:
</t>
    </r>
    <r>
      <rPr>
        <sz val="12"/>
        <color rgb="FF00B050"/>
        <rFont val="Calibri"/>
        <family val="2"/>
        <charset val="238"/>
        <scheme val="minor"/>
      </rPr>
      <t>- 17 m potrubí PE100RC; SDR11; x8,2
- 1ks hrdlová spojka jištěná proti posuvu DN80 pro PE potrubí d90
- 4ks elektrospojka 45° PE100 SDR11 d90
- 1ks elektrospojka PE100 SDR11 d90
- 1ks lemový nákružek s prodloužením PE100 SDR11 d90
- 1ks točivá převlečná příruba PP DN80 PN16
detail dle výkresu D.1.2.1.b) - 10 - Kladečské schéma</t>
    </r>
  </si>
  <si>
    <t>Štetovnicové pažení dl:34m, v.9m, vč. horní obvodové převázky U300, vč. 2ks dočasných drenážmích jímek DN600 dl.2x8m</t>
  </si>
  <si>
    <t>34*9</t>
  </si>
  <si>
    <t>Výkop jámy uvnitř pažení, plocha 64m2 + výkop na potrubní rozvod DN300 a PEd90</t>
  </si>
  <si>
    <t>((10,4*5,15)+(14,2*3)+(18,7*3,15)+(20,3*5,5))*1,2</t>
  </si>
  <si>
    <t>53*0,52</t>
  </si>
  <si>
    <t>64*1,2</t>
  </si>
  <si>
    <t>64*0,3</t>
  </si>
  <si>
    <t>(11,5+18+9,5+5+7,8+2,6)*0,15</t>
  </si>
  <si>
    <t>Základová deska beton C20/25 XA1, tl.250mm (pod lapak,kanal,drapák,ČS,arm.komoru)</t>
  </si>
  <si>
    <t>(10+15,3+9,5+5+6,2+2,1)*0,25</t>
  </si>
  <si>
    <t>Armování základové desky  - Ocel. kari síť 100x100x8, 2x vrstva, vč. distančních podložek pro min krití 45mm (lapak,kanal,drapák,ČS,arm.komoru)</t>
  </si>
  <si>
    <t>Objekt lapáku štěrku, prefabrikovaná jímka z betonu C30/37 XC3 XF3 XA1, vnější rozměry 3,55x1,5x1,9m, vnitřní rozměry 4,3x1x1,4m, tl. stěny 250mm, šikmá spodní hrana v.0,5 x š.0,25m, Vázaná výztuž při horním i dolním okraji 150kg/m3. 2x plastová šachtová vložka DN300(D315) s těsněním</t>
  </si>
  <si>
    <t>(3,55*1,5*1,9) - (4,3*1*1,4)</t>
  </si>
  <si>
    <t>Zábradlí z nerezi: 
- jekl 40x40x2 - 17m
- plech 120x60x6mm - 4ks
- kotevní materiál - 1kpl</t>
  </si>
  <si>
    <t>Pochozí kompozitní rošt v.38mm, včetně nosných konstrukcí, plocha 4m2</t>
  </si>
  <si>
    <t>Základ drapák štěrku, beton C30/37 XC3 XF3 XA1, Rozměry 1,2*1,2*0,8m, výztuže po obvodě základu (stěny dno strop), vč. kabelové chráničky PE D110</t>
  </si>
  <si>
    <t>Gravitační propojení stavebních objektů potrubím PP DN300 SN12, vč. ohybů</t>
  </si>
  <si>
    <t>Výtlačné potrubí PE100RC d90x8,2 SDR11</t>
  </si>
  <si>
    <t>32*0,6*0,45</t>
  </si>
  <si>
    <t>32*1*0,6</t>
  </si>
  <si>
    <t>19,2+8,2+12+48,6+13,6+12,7+20,2+27,5</t>
  </si>
  <si>
    <t>Objekt kanálu mechanického předčistění, prefabrikovaná konstr z betonu C30/37 XC3 XF3 XA1, vnitřní rozměry hl. kanálu 5x0,3m, v 1,8-1,85, tl.stěny 0,25m, Přepadový kanál  o vnitřních rozměrech 0,8x2,3 v 2,3-2,6m monoliticky připojen k hl. kanál. Spád dna 60°. 3x plastová šachtová vložka DN300(D315) s těsněním,  vázaná výztuž při horním i dolním okraji 150kg/m3</t>
  </si>
  <si>
    <t>(4,8*0,25)+(2,16*2,3)+(1,13x2,7)+(1*0,25*2,85)+(0,8*2,1*0,25)</t>
  </si>
  <si>
    <t>Nově</t>
  </si>
  <si>
    <t>Původně</t>
  </si>
  <si>
    <t>Výkop rýhy pažený š. 0,6 m; hloubka cca 1,5 m</t>
  </si>
  <si>
    <t>100*0,6*1,4</t>
  </si>
  <si>
    <t>100*0,6*0,45</t>
  </si>
  <si>
    <t>100*0,88*0,6</t>
  </si>
  <si>
    <t>90x0,6x1,5</t>
  </si>
  <si>
    <t>90x0,6x0,07</t>
  </si>
  <si>
    <t>100*1,5*2</t>
  </si>
  <si>
    <t>Dvouvrstvé potrubí PE100RC; SDR11; d40x3,7</t>
  </si>
  <si>
    <t>Navrtávací pas HAKU 110-2"</t>
  </si>
  <si>
    <t>Kombinované navrávací ISO šoupátko z POM č.2681 s výstupní ISO tvarovkou č.6221F pro PE d40</t>
  </si>
  <si>
    <t xml:space="preserve">Teleskop. zákopová souprava pro šoupátka délka 1-1,6m </t>
  </si>
  <si>
    <t>Samoniv. uliční poklop pro domovní přípojky označení „VODA“ nebo „VODOVOD“.</t>
  </si>
  <si>
    <t>Podkladová betonová deska</t>
  </si>
  <si>
    <t>Vodoměrná sestava typu Meibes pro vodoměr DN25, Qn 6 (6,3) m3/h, L=260 mm, DN 1 ¼“, je se šikmými ventily (ve druhém uzávěru je integrována zpětná klapka a vypouštění</t>
  </si>
  <si>
    <t>Fakturační vodoměr (dodávka provozovatel) jmenovitá světlost DN25 (30) s připojovací rozměry 1 ¼“, stavební délka 260 mm, jmenovitý průtok Qn 6 (6,3) m3/h, elektronickým impulzním modulem zajištujícím vzdálenou komunikaci a přenos dat</t>
  </si>
  <si>
    <t xml:space="preserve">Odvrt betonovou stěnou, typická délka odvrtu 140 mm, typický průměr odvrtu 82 mm. Vodotěsné segmentové těsnění sestávající z nerezoceli a pryže pro PE potrubí ø 40 mm </t>
  </si>
  <si>
    <t>Chránička PE100 DN 100</t>
  </si>
  <si>
    <t>Regulátor tlaku, filtr a potrubní oddělovač s příslušnými uzávěry 5/4"</t>
  </si>
  <si>
    <t>90x0,6x1,4</t>
  </si>
  <si>
    <t>Přechodové spojení, pro spojení nerez potrubí s přírubou DN80 PN10-16 a PE potrubím ø90mm, přechod tvoří:
- příruba přivařovací DN80, PN10/16 nerez - 1ks
- spoj. a těsnící materiál pro krátký spoj příruba/příruba, nerez, DN80 PN10/16 – 1 kpl</t>
  </si>
  <si>
    <t>Potrubí rozvodu provozní vody PPR – Vnitřní vodovod
- PPR potrubí ø40 x 5,5 mm – 8m 
- PPR potrubí ø32 x 4,4 mm – 3m 
- PPR tvarovky a přechodky pro 40 mm – 1kpl
- PPR tvarovky a přechodky pro 32 mm – 1kpl
- kulový ventil DN32 (5/4“) – 2ks
- kulový ventil DN25 (1“) – 2ks
- chránička pro potrubí ø63mm pro podzemní část potrubí – 3m
- tepelná izolace s hliníkovou folií pro potrubí ø40 mm včetně samočinného vyhřívacího kabelu (pro   nadzemní část) 8 m
- tepelná izolace s hliníkovou folií pro potrubí ø32 mm včetně samočinného vyhřívacího kabelu (pro    nadzemní část) 3 m
- konzoly z nerezoceli, kotvené nerezovými kotvami do betonu - 1 kpl
- Odvrt betonovou stěnou, typická délka odvrtu 140 mm, typický průměr odvrtu 82 mm. Vodotěsné segmentové těsnění sestávající z nerezoceli a pryže pro PPR potrubí ø 40 mm - 1kpl</t>
  </si>
  <si>
    <t xml:space="preserve">Indukční průtokoměr DN80, PN 10/16, Přírubový, Měřené medium: splašková voda (výstelka odolná proti abrazi), s detekcí prázdného potrubí s napájením 24 VDC s ochranou proti přepólování, krytí snímače IP 67, krytí vyhodnocovací jednotky IP 66, výstup proudový 4 - 20 mA, Průtokoměr je fakturačním měřidlem, pulzní, limitní, ukazatel průtoku a nasčítaného množství, rozsah měření 0,01-12m/s, přesnost měření do 0,5%. Oddělaná zobrazovací jednotka včetně konzoly pro připevnění vyhodnocovací jednotky na stěnu a kotevního materiálu. </t>
  </si>
  <si>
    <t>Odvrt betonovou stěnou, typická délka odvrtu 140 mm, typický průměr odvrtu 180 mm. Vodotěsné segmentové těsnění sestávající z nerezoceli a pryže pro nerezové potrubí 84 mm.
Zapravení odvrtu betonovou stěrkou.</t>
  </si>
  <si>
    <t xml:space="preserve">Nerezový žebřík s vnitřní šířkou 400 mm, délkou 4 m, s výsuvným rámovým madlem, s protiskluzovými děrovanými příčlemi a příslušným kotevním materiálem. </t>
  </si>
  <si>
    <t>dle dohody se stávajícím provozovatelem a vzhledem k limitovanému prostoru v areálu ČSOV budou využívány stávající malé kovové vanové kontejnery</t>
  </si>
  <si>
    <t xml:space="preserve">Potrubí ventilace – KG systém	
- 8m potrubí ø125 mm m 
- 3ks oblouk 90° ø125 mm
- 1kpl konzoly z nerezoceli, kotvené nerezovými kotvami do betonu 
- 2kpl Odvrt betonovou stěnou, typická délka odvrtu 250 mm, typický průměr odvrtu ø 160 mm, pro KG potrubí ø 125 mm, utěsnění prostupu studniční pěnou </t>
  </si>
  <si>
    <t xml:space="preserve">Potrubí ventilace ø160 – KG systém	
- 8m potrubí ø160 mm – 8 m 
- 3ks oblouk 90° 160 mm -3 ks
- 1kpl konzoly z nerezoceli, kotvené nerezovými kotvami do betonu 
- 2kpl Odvrt betonovou stěnou, typická délka odvrtu 250 mm, typický průměr odvrtu ø 200 mm pro KG potrubí ø 160 mm, utěsnění prostupu studniční pěnou </t>
  </si>
  <si>
    <t>Vřetenové šoupátko pro průtočnou plochu 400 mm s teleskopickým prodloužením a konzolovým stojanem s ručním kolem. Hloubka pro zabudování T=1850 mm, ruční kolo vyvedeno nad zábradlí
Včetně sady chemických kotev pro uchycení na betonovou stěrku, materiál šoupátka nerez.</t>
  </si>
  <si>
    <r>
      <t xml:space="preserve">Objekt čerpací stanice
- Prefabrikovaná zákrytová deska ZD2 2,68*3,58*0,25 (5,6t), otvor poklop R02, R03
- 2x Prefabrikovaný nástavec 2,4*3,3*0,95m (3,3t) 
- Prefabrikované dno 2,4*3,3*2,78m (15t)
- 3x plastová šachtová vložka DN300(D315) s těsněním
- Spádový beton dna tl.50-200/500mm
- 1x nerezový poklop zapuštěný R03 </t>
    </r>
    <r>
      <rPr>
        <sz val="12"/>
        <rFont val="Calibri"/>
        <family val="2"/>
        <charset val="238"/>
      </rPr>
      <t xml:space="preserve">800x800  
- 1x nerez rám pro R03 900x900 z  L50/50/2, uchycení do betonu
- 1x nerezový poklop zapuštěný R02 650x1100
- 1x nerez rám pro R02 750x1200 z  L50/50/2, uchycení do betonu
</t>
    </r>
  </si>
  <si>
    <r>
      <t xml:space="preserve">Objekt armaturní komory
- Prefabrikovaná zákrytová deska ZD1 2,68*2,18*0,25 (5,6t), otvor poklop R01
- Prefabrikované dno 2,4*3,3*1,93m (11,5t)
</t>
    </r>
    <r>
      <rPr>
        <sz val="12"/>
        <rFont val="Calibri"/>
        <family val="2"/>
        <charset val="238"/>
      </rPr>
      <t xml:space="preserve">- Spádový beton dna tl. 50-100 mm
- 1x nerezový poklop vyvýšený R01 800x800  
- 1x nerez rám pro R01 900x900 z  L50/50/2, uchycení do betonu
</t>
    </r>
  </si>
  <si>
    <r>
      <rPr>
        <b/>
        <sz val="12"/>
        <rFont val="Calibri"/>
        <family val="2"/>
        <charset val="238"/>
      </rPr>
      <t>Šnekové česle s integrovaným lisem na shrabky</t>
    </r>
    <r>
      <rPr>
        <sz val="12"/>
        <rFont val="Calibri"/>
        <family val="2"/>
        <charset val="238"/>
      </rPr>
      <t xml:space="preserve">
Maximální průtočné množství      	Qmax  =  do 30  l/s  
 - při zatížení odpadní vody do      		NL  =  350  mg/l   
Průměr síta         			 	D  =  300  mm   
Jemnost kruhových / podélných průlin    	e  =  6   mm   
Redukce vody ve shrabkách na cca.     		 =  35  % podíl suchých shrabků   
Zvolený sklon instalace (v rozmezí 35-48°)	α  =  35°
Délka šnekových česlí       			L  =  6 700  mm   
Výška výsypu nad horní hranou kanálu a = 1450  mm   
Hloubka kanálu        				t  =  1800  mm   
Max. hladina před zařízením      			w  =  460  mm   
Průměr tubusu          				d  =  273   mm     
Příkon motoru česlí       		P  =  1,1   kW</t>
    </r>
  </si>
  <si>
    <r>
      <t xml:space="preserve">Česle na přelivovou hranu
</t>
    </r>
    <r>
      <rPr>
        <sz val="12"/>
        <rFont val="Calibri"/>
        <family val="2"/>
        <charset val="238"/>
      </rPr>
      <t>Maximální průtočné množství      		Qmax  =  120  l/s  
 - při zatížení odpadní vody do      		NL  =  350  mg/l   
Průměr síta         			 	D  =  300  mm   
Jemnost kruhových / podélných průlin    	e  =  6   mm   
Účinná délka síta 				L  = 1250 mm 
Úhel instalace     				=    60  stupňů 
Výkon motoru 					P  =  1,1 kW 
Krytí motoru    					IP 68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Ostřik česlí	      Q= 5 m3/h, popt = 5-7 bar, připoj.  1 ¼“</t>
    </r>
  </si>
  <si>
    <r>
      <rPr>
        <b/>
        <sz val="12"/>
        <rFont val="Calibri"/>
        <family val="2"/>
        <charset val="238"/>
      </rPr>
      <t>Zařízení pro těžení štěrku a pístu TŠP-K-E</t>
    </r>
    <r>
      <rPr>
        <sz val="12"/>
        <rFont val="Calibri"/>
        <family val="2"/>
        <charset val="238"/>
      </rPr>
      <t xml:space="preserve">
</t>
    </r>
    <r>
      <rPr>
        <u/>
        <sz val="12"/>
        <rFont val="Calibri"/>
        <family val="2"/>
        <charset val="238"/>
      </rPr>
      <t>Sloupový jeřáb</t>
    </r>
    <r>
      <rPr>
        <sz val="12"/>
        <rFont val="Calibri"/>
        <family val="2"/>
        <charset val="238"/>
      </rPr>
      <t xml:space="preserve">
   otáčení na výložníku	strojní: (0,18kW)
   výška sloupu /mm: 4000
   délka výložníku /mm/ - od osy otáčení: 3500
   nosnost /kg: 	250
   akční radius /°: 	260°
   betonový základ /mm: 	1200×1200×800
   kotevní šrouby /ks/, šablona	4+ šablona
</t>
    </r>
    <r>
      <rPr>
        <u/>
        <sz val="12"/>
        <rFont val="Calibri"/>
        <family val="2"/>
        <charset val="238"/>
      </rPr>
      <t>Dvoulžicový drapák</t>
    </r>
    <r>
      <rPr>
        <sz val="12"/>
        <rFont val="Calibri"/>
        <family val="2"/>
        <charset val="238"/>
      </rPr>
      <t xml:space="preserve">	
   objem /l: 50
   hydraulický pohon /kW: 1,5
   bubnový navíječ hadic:	 ano
</t>
    </r>
    <r>
      <rPr>
        <u/>
        <sz val="12"/>
        <rFont val="Calibri"/>
        <family val="2"/>
        <charset val="238"/>
      </rPr>
      <t>Elektrický kladkostroj-řetězový</t>
    </r>
    <r>
      <rPr>
        <sz val="12"/>
        <rFont val="Calibri"/>
        <family val="2"/>
        <charset val="238"/>
      </rPr>
      <t xml:space="preserve">
   nosnost /kg:	 250
   s pojezdem na výložníku /kW: 	0,04+1,1 
   zdvih /m:	  max 8</t>
    </r>
  </si>
  <si>
    <r>
      <t xml:space="preserve">Záplavové kalové čerpadlo se šroubovým odstředivým kolem
</t>
    </r>
    <r>
      <rPr>
        <sz val="12"/>
        <rFont val="Calibri"/>
        <family val="2"/>
        <charset val="238"/>
      </rPr>
      <t>Umístění do mokré jímky s rozběhem pomocí FM. Q = 6 l/s, H =45 m v. sl. Příruba výtlak DN80 PN16, Průchodnost 50 mm, Počet otáček 2900 ot. /min, Jmenovitý výkon 11kW a proud 23 A, motor 400 V, 50 Hz. S mechanickou ucpávkou. Včetně vlhkostní sondy, tepelná ochraně vinutí termistorem, 10 m napájecího kabelu. 
Dále včetně spouštěcího zařízení z 2 ks nerezových trubek 1 1/2“ délky 6 m, patkového kolena, montážního materiálu, spouštěcího řetězu pro vyjímání čerpadla, horního držáku spouštěcího zařízení.</t>
    </r>
  </si>
  <si>
    <r>
      <t>Potrubí DN 80 z nerezoceli 
- potrubí ø 84 x 2 mm –</t>
    </r>
    <r>
      <rPr>
        <sz val="12"/>
        <rFont val="Calibri"/>
        <family val="2"/>
        <charset val="238"/>
      </rPr>
      <t xml:space="preserve"> 13 m 
- oblouk nerez 90° R=1,5 84 x 2 mm - 6 ks
- T-kus 84 x 2 mm – 3 ks
- redukce 84/70 x 2 mm - 1 ks
- příruba přivařovací DN80, PN10/16 - 16ks
- spoj. a těsnící materiál pro krátký spoj příruba/příruba, nerez, DN80 PN10/16 – 8 kpl
- spoj. a těsnící materiál pro mezipřírubovou šoupě, nerez, DN80 PN10/16 – 4 kpl
- konzoly z nerezoceli, kotvené nerezovými kotvami do betonu - 1 kpl
Veškeré sváry na potrubí a pomocných kovových konstrukcích budou provedeny metodou TIG v ochranné atmosféře.
Závity spojů a třmenů budou ošetřeny přípravkem pro ošetření závitů nerezových šroubů. Každý přírubový spoj bude osazen 2 páry vějířových podložek pro zajištění vodivého pospojení.</t>
    </r>
  </si>
  <si>
    <r>
      <t>Potrubí DN 65 z nerezoceli 
- potrubí ø70 x 2 mm –</t>
    </r>
    <r>
      <rPr>
        <sz val="12"/>
        <rFont val="Calibri"/>
        <family val="2"/>
        <charset val="238"/>
      </rPr>
      <t xml:space="preserve"> 2m 
- oblouk nerez 90° R=1,5 70 x 2 mm -2 ks
- příruba přivařovací DN65, PN10/16 - 2ks
- spoj. a těsnící materiál pro mezipřírubové šoupě, nerez, DN65 PN10/16 – 1 kpl
- spojka B75, vnitřní závit 2 ½“, nerez – 1ks
- přechod (redukce) z připojení typu B na C – 1ks
- návarek vnější závit 2 ½“, nerez– 1ks
- konzoly z nerezoceli, kotvené nerezovými kotvami do betonu - 1 kpl
Veškeré sváry na potrubí a pomocných kovových konstrukcích budou provedeny metodou TIG v ochranné atmosféře.
Závity spojů a třmenů budou ošetřeny přípravkem pro ošetření závitů nerezových šroubů. Každý přírubový spoj bude osazen 2 páry vějířových podložek pro zajištění vodivého pospojení.</t>
    </r>
  </si>
  <si>
    <r>
      <t>Nerezový žebřík s vnitřní šířkou 400 mm, délkou 1,9 m,</t>
    </r>
    <r>
      <rPr>
        <sz val="12"/>
        <rFont val="Calibri"/>
        <family val="2"/>
        <charset val="238"/>
      </rPr>
      <t xml:space="preserve"> s výsuvným rámovým madlem, s protiskluzovými děrovanými příčlemi a příslušným kotevním materiálem. </t>
    </r>
  </si>
  <si>
    <r>
      <t xml:space="preserve">Štetovnicové pažení </t>
    </r>
    <r>
      <rPr>
        <sz val="12"/>
        <color rgb="FF00B050"/>
        <rFont val="Calibri"/>
        <family val="2"/>
        <charset val="238"/>
        <scheme val="minor"/>
      </rPr>
      <t>dl:40m</t>
    </r>
    <r>
      <rPr>
        <sz val="12"/>
        <rFont val="Calibri"/>
        <family val="2"/>
        <charset val="238"/>
        <scheme val="minor"/>
      </rPr>
      <t xml:space="preserve">, v.9m, vč. horní obvodové převázky U300, </t>
    </r>
    <r>
      <rPr>
        <sz val="12"/>
        <color rgb="FF00B050"/>
        <rFont val="Calibri"/>
        <family val="2"/>
        <charset val="238"/>
        <scheme val="minor"/>
      </rPr>
      <t xml:space="preserve">vč. 3ks </t>
    </r>
    <r>
      <rPr>
        <sz val="12"/>
        <rFont val="Calibri"/>
        <family val="2"/>
        <charset val="238"/>
        <scheme val="minor"/>
      </rPr>
      <t>dočasných drenážmích jímek DN600 hl.</t>
    </r>
    <r>
      <rPr>
        <sz val="12"/>
        <color rgb="FF00B050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 xml:space="preserve">x8m, </t>
    </r>
    <r>
      <rPr>
        <sz val="12"/>
        <color rgb="FF00B050"/>
        <rFont val="Calibri"/>
        <family val="2"/>
        <charset val="238"/>
        <scheme val="minor"/>
      </rPr>
      <t>navržení a provedení specifického technického řešení na konkrétní typ objektu čerpací</t>
    </r>
    <r>
      <rPr>
        <sz val="12"/>
        <rFont val="Calibri"/>
        <family val="2"/>
        <charset val="238"/>
        <scheme val="minor"/>
      </rPr>
      <t xml:space="preserve"> </t>
    </r>
    <r>
      <rPr>
        <sz val="12"/>
        <color rgb="FF00B050"/>
        <rFont val="Calibri"/>
        <family val="2"/>
        <charset val="238"/>
        <scheme val="minor"/>
      </rPr>
      <t>stanice, vč. vytažení a odvoz štětových stěn</t>
    </r>
  </si>
  <si>
    <t>Zpevněné plochy,rozsah dle výkresu D.1.2.1.b) - 8 - bude upřesněno v rámci stavby dle požadavků provozovatele/investora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</si>
</sst>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Kč&quot;"/>
    <numFmt numFmtId="165" formatCode="#,##0.00%"/>
    <numFmt numFmtId="166" formatCode="dd\.mm\.yyyy"/>
    <numFmt numFmtId="167" formatCode="#,##0.00000"/>
    <numFmt numFmtId="168" formatCode="0.0"/>
  </numFmts>
  <fonts count="53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 CE"/>
      <family val="2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theme="0" tint="-0.499984740745262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theme="0" tint="-0.499984740745262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name val="Arial CE"/>
      <family val="2"/>
      <charset val="238"/>
    </font>
    <font>
      <sz val="11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8"/>
      <color theme="10"/>
      <name val="Wingdings 2"/>
      <family val="1"/>
      <charset val="2"/>
    </font>
    <font>
      <sz val="10"/>
      <color rgb="FF003366"/>
      <name val="Arial CE"/>
      <family val="2"/>
      <charset val="238"/>
    </font>
    <font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36"/>
      <color theme="1"/>
      <name val="Calibri"/>
      <family val="2"/>
      <charset val="238"/>
      <scheme val="minor"/>
    </font>
    <font>
      <b/>
      <sz val="12"/>
      <color rgb="FFC00000"/>
      <name val="Arial CE"/>
      <family val="2"/>
      <charset val="238"/>
    </font>
    <font>
      <sz val="36"/>
      <name val="Arial CE"/>
      <family val="2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u/>
      <sz val="12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35" fillId="0" borderId="0" applyNumberFormat="0" applyFill="0" applyBorder="0" applyAlignment="0" applyProtection="0"/>
    <xf numFmtId="0" fontId="3" fillId="0" borderId="0"/>
  </cellStyleXfs>
  <cellXfs count="290">
    <xf numFmtId="0" fontId="0" fillId="0" borderId="0" xfId="0"/>
    <xf numFmtId="0" fontId="5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2" borderId="2" xfId="0" applyFill="1" applyBorder="1"/>
    <xf numFmtId="164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7" fillId="0" borderId="0" xfId="0" applyFont="1"/>
    <xf numFmtId="0" fontId="9" fillId="0" borderId="0" xfId="1" applyFont="1" applyAlignment="1">
      <alignment horizontal="left" vertical="center"/>
    </xf>
    <xf numFmtId="0" fontId="8" fillId="0" borderId="0" xfId="1"/>
    <xf numFmtId="0" fontId="8" fillId="0" borderId="0" xfId="1" applyAlignment="1">
      <alignment horizontal="left" vertical="center"/>
    </xf>
    <xf numFmtId="0" fontId="8" fillId="0" borderId="11" xfId="1" applyBorder="1"/>
    <xf numFmtId="0" fontId="8" fillId="0" borderId="12" xfId="1" applyBorder="1"/>
    <xf numFmtId="0" fontId="8" fillId="0" borderId="13" xfId="1" applyBorder="1"/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top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horizontal="left" vertical="top"/>
    </xf>
    <xf numFmtId="0" fontId="13" fillId="0" borderId="0" xfId="1" applyFont="1" applyAlignment="1">
      <alignment horizontal="left" vertical="center"/>
    </xf>
    <xf numFmtId="14" fontId="14" fillId="3" borderId="0" xfId="1" applyNumberFormat="1" applyFont="1" applyFill="1" applyAlignment="1" applyProtection="1">
      <alignment horizontal="left" vertical="center"/>
      <protection locked="0"/>
    </xf>
    <xf numFmtId="49" fontId="14" fillId="3" borderId="0" xfId="1" applyNumberFormat="1" applyFont="1" applyFill="1" applyAlignment="1" applyProtection="1">
      <alignment horizontal="left" vertical="center"/>
      <protection locked="0"/>
    </xf>
    <xf numFmtId="0" fontId="8" fillId="0" borderId="14" xfId="1" applyBorder="1"/>
    <xf numFmtId="0" fontId="8" fillId="0" borderId="0" xfId="1" applyAlignment="1">
      <alignment vertical="center"/>
    </xf>
    <xf numFmtId="0" fontId="8" fillId="0" borderId="13" xfId="1" applyBorder="1" applyAlignment="1">
      <alignment vertical="center"/>
    </xf>
    <xf numFmtId="0" fontId="17" fillId="0" borderId="15" xfId="1" applyFont="1" applyBorder="1" applyAlignment="1">
      <alignment horizontal="left" vertical="center"/>
    </xf>
    <xf numFmtId="0" fontId="8" fillId="0" borderId="15" xfId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9" fillId="0" borderId="13" xfId="1" applyFont="1" applyBorder="1" applyAlignment="1">
      <alignment vertical="center"/>
    </xf>
    <xf numFmtId="0" fontId="19" fillId="0" borderId="0" xfId="1" applyFont="1" applyAlignment="1">
      <alignment horizontal="left" vertical="center"/>
    </xf>
    <xf numFmtId="0" fontId="8" fillId="5" borderId="0" xfId="1" applyFill="1" applyAlignment="1">
      <alignment vertical="center"/>
    </xf>
    <xf numFmtId="0" fontId="23" fillId="5" borderId="16" xfId="1" applyFont="1" applyFill="1" applyBorder="1" applyAlignment="1">
      <alignment horizontal="left" vertical="center"/>
    </xf>
    <xf numFmtId="0" fontId="8" fillId="5" borderId="17" xfId="1" applyFill="1" applyBorder="1" applyAlignment="1">
      <alignment vertical="center"/>
    </xf>
    <xf numFmtId="0" fontId="23" fillId="5" borderId="17" xfId="1" applyFont="1" applyFill="1" applyBorder="1" applyAlignment="1">
      <alignment horizontal="center" vertical="center"/>
    </xf>
    <xf numFmtId="0" fontId="24" fillId="0" borderId="14" xfId="1" applyFont="1" applyBorder="1" applyAlignment="1">
      <alignment horizontal="left" vertical="center"/>
    </xf>
    <xf numFmtId="0" fontId="8" fillId="0" borderId="14" xfId="1" applyBorder="1" applyAlignment="1">
      <alignment vertical="center"/>
    </xf>
    <xf numFmtId="0" fontId="13" fillId="0" borderId="15" xfId="1" applyFont="1" applyBorder="1" applyAlignment="1">
      <alignment horizontal="left" vertical="center"/>
    </xf>
    <xf numFmtId="0" fontId="8" fillId="0" borderId="19" xfId="1" applyBorder="1" applyAlignment="1">
      <alignment vertical="center"/>
    </xf>
    <xf numFmtId="0" fontId="8" fillId="0" borderId="20" xfId="1" applyBorder="1" applyAlignment="1">
      <alignment vertical="center"/>
    </xf>
    <xf numFmtId="0" fontId="8" fillId="0" borderId="11" xfId="1" applyBorder="1" applyAlignment="1">
      <alignment vertical="center"/>
    </xf>
    <xf numFmtId="0" fontId="8" fillId="0" borderId="12" xfId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13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13" xfId="1" applyFont="1" applyBorder="1" applyAlignment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8" fillId="0" borderId="22" xfId="1" applyBorder="1" applyAlignment="1">
      <alignment vertical="center"/>
    </xf>
    <xf numFmtId="0" fontId="8" fillId="0" borderId="23" xfId="1" applyBorder="1" applyAlignment="1">
      <alignment vertical="center"/>
    </xf>
    <xf numFmtId="0" fontId="8" fillId="0" borderId="25" xfId="1" applyBorder="1" applyAlignment="1">
      <alignment vertical="center"/>
    </xf>
    <xf numFmtId="0" fontId="8" fillId="6" borderId="17" xfId="1" applyFill="1" applyBorder="1" applyAlignment="1">
      <alignment vertical="center"/>
    </xf>
    <xf numFmtId="0" fontId="27" fillId="6" borderId="0" xfId="1" applyFont="1" applyFill="1" applyAlignment="1">
      <alignment horizontal="center" vertical="center"/>
    </xf>
    <xf numFmtId="0" fontId="28" fillId="0" borderId="26" xfId="1" applyFont="1" applyBorder="1" applyAlignment="1">
      <alignment horizontal="center" vertical="center" wrapText="1"/>
    </xf>
    <xf numFmtId="0" fontId="28" fillId="0" borderId="27" xfId="1" applyFont="1" applyBorder="1" applyAlignment="1">
      <alignment horizontal="center" vertical="center" wrapText="1"/>
    </xf>
    <xf numFmtId="0" fontId="28" fillId="0" borderId="28" xfId="1" applyFont="1" applyBorder="1" applyAlignment="1">
      <alignment horizontal="center" vertical="center" wrapText="1"/>
    </xf>
    <xf numFmtId="0" fontId="8" fillId="0" borderId="21" xfId="1" applyBorder="1" applyAlignment="1">
      <alignment vertical="center"/>
    </xf>
    <xf numFmtId="0" fontId="23" fillId="0" borderId="0" xfId="1" applyFont="1" applyAlignment="1">
      <alignment vertical="center"/>
    </xf>
    <xf numFmtId="0" fontId="23" fillId="0" borderId="13" xfId="1" applyFont="1" applyBorder="1" applyAlignment="1">
      <alignment vertical="center"/>
    </xf>
    <xf numFmtId="0" fontId="29" fillId="0" borderId="0" xfId="1" applyFont="1" applyAlignment="1">
      <alignment horizontal="left" vertical="center"/>
    </xf>
    <xf numFmtId="0" fontId="29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4" fontId="25" fillId="0" borderId="24" xfId="1" applyNumberFormat="1" applyFont="1" applyBorder="1" applyAlignment="1">
      <alignment vertical="center"/>
    </xf>
    <xf numFmtId="4" fontId="25" fillId="0" borderId="0" xfId="1" applyNumberFormat="1" applyFont="1" applyAlignment="1">
      <alignment vertical="center"/>
    </xf>
    <xf numFmtId="167" fontId="25" fillId="0" borderId="0" xfId="1" applyNumberFormat="1" applyFont="1" applyAlignment="1">
      <alignment vertical="center"/>
    </xf>
    <xf numFmtId="4" fontId="25" fillId="0" borderId="25" xfId="1" applyNumberFormat="1" applyFont="1" applyBorder="1" applyAlignment="1">
      <alignment vertical="center"/>
    </xf>
    <xf numFmtId="0" fontId="23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31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3" fillId="0" borderId="13" xfId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4" fontId="34" fillId="0" borderId="24" xfId="1" applyNumberFormat="1" applyFont="1" applyBorder="1" applyAlignment="1">
      <alignment vertical="center"/>
    </xf>
    <xf numFmtId="4" fontId="34" fillId="0" borderId="0" xfId="1" applyNumberFormat="1" applyFont="1" applyAlignment="1">
      <alignment vertical="center"/>
    </xf>
    <xf numFmtId="167" fontId="34" fillId="0" borderId="0" xfId="1" applyNumberFormat="1" applyFont="1" applyAlignment="1">
      <alignment vertical="center"/>
    </xf>
    <xf numFmtId="4" fontId="34" fillId="0" borderId="25" xfId="1" applyNumberFormat="1" applyFont="1" applyBorder="1" applyAlignment="1">
      <alignment vertical="center"/>
    </xf>
    <xf numFmtId="0" fontId="33" fillId="0" borderId="0" xfId="1" applyFont="1" applyAlignment="1">
      <alignment horizontal="left" vertical="center"/>
    </xf>
    <xf numFmtId="0" fontId="36" fillId="0" borderId="0" xfId="2" applyFont="1" applyAlignment="1">
      <alignment horizontal="center" vertical="center"/>
    </xf>
    <xf numFmtId="0" fontId="37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4" fontId="13" fillId="0" borderId="24" xfId="1" applyNumberFormat="1" applyFont="1" applyBorder="1" applyAlignment="1">
      <alignment vertical="center"/>
    </xf>
    <xf numFmtId="4" fontId="13" fillId="0" borderId="0" xfId="1" applyNumberFormat="1" applyFont="1" applyAlignment="1">
      <alignment vertical="center"/>
    </xf>
    <xf numFmtId="167" fontId="13" fillId="0" borderId="0" xfId="1" applyNumberFormat="1" applyFont="1" applyAlignment="1">
      <alignment vertical="center"/>
    </xf>
    <xf numFmtId="4" fontId="13" fillId="0" borderId="25" xfId="1" applyNumberFormat="1" applyFont="1" applyBorder="1" applyAlignment="1">
      <alignment vertical="center"/>
    </xf>
    <xf numFmtId="49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4" fontId="0" fillId="0" borderId="3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30" xfId="0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3" fillId="0" borderId="0" xfId="3"/>
    <xf numFmtId="0" fontId="3" fillId="0" borderId="0" xfId="3" applyAlignment="1">
      <alignment horizontal="center"/>
    </xf>
    <xf numFmtId="0" fontId="3" fillId="0" borderId="1" xfId="3" applyBorder="1" applyAlignment="1">
      <alignment horizontal="center"/>
    </xf>
    <xf numFmtId="0" fontId="3" fillId="0" borderId="1" xfId="3" applyBorder="1"/>
    <xf numFmtId="0" fontId="3" fillId="7" borderId="1" xfId="3" applyFill="1" applyBorder="1"/>
    <xf numFmtId="0" fontId="3" fillId="7" borderId="3" xfId="3" applyFill="1" applyBorder="1"/>
    <xf numFmtId="164" fontId="3" fillId="0" borderId="0" xfId="3" applyNumberFormat="1" applyAlignment="1">
      <alignment horizontal="center"/>
    </xf>
    <xf numFmtId="164" fontId="3" fillId="0" borderId="2" xfId="3" applyNumberFormat="1" applyBorder="1" applyAlignment="1">
      <alignment horizontal="right"/>
    </xf>
    <xf numFmtId="164" fontId="3" fillId="0" borderId="0" xfId="3" applyNumberFormat="1" applyAlignment="1">
      <alignment horizontal="right"/>
    </xf>
    <xf numFmtId="164" fontId="3" fillId="0" borderId="1" xfId="3" applyNumberFormat="1" applyBorder="1" applyAlignment="1">
      <alignment horizontal="right"/>
    </xf>
    <xf numFmtId="0" fontId="3" fillId="8" borderId="1" xfId="3" applyFill="1" applyBorder="1"/>
    <xf numFmtId="0" fontId="3" fillId="0" borderId="32" xfId="3" applyBorder="1"/>
    <xf numFmtId="0" fontId="3" fillId="8" borderId="32" xfId="3" applyFill="1" applyBorder="1"/>
    <xf numFmtId="0" fontId="2" fillId="0" borderId="1" xfId="3" applyFont="1" applyBorder="1"/>
    <xf numFmtId="49" fontId="39" fillId="0" borderId="4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9" fillId="0" borderId="4" xfId="0" applyFont="1" applyBorder="1" applyAlignment="1">
      <alignment horizontal="center" vertical="center"/>
    </xf>
    <xf numFmtId="0" fontId="41" fillId="0" borderId="1" xfId="3" applyFont="1" applyBorder="1"/>
    <xf numFmtId="0" fontId="41" fillId="0" borderId="1" xfId="0" applyFont="1" applyBorder="1"/>
    <xf numFmtId="0" fontId="41" fillId="0" borderId="32" xfId="3" applyFont="1" applyBorder="1"/>
    <xf numFmtId="0" fontId="41" fillId="0" borderId="32" xfId="0" applyFont="1" applyBorder="1"/>
    <xf numFmtId="0" fontId="39" fillId="0" borderId="6" xfId="0" applyFont="1" applyBorder="1" applyAlignment="1">
      <alignment horizontal="center" vertical="center"/>
    </xf>
    <xf numFmtId="0" fontId="43" fillId="0" borderId="1" xfId="0" applyFont="1" applyBorder="1"/>
    <xf numFmtId="0" fontId="0" fillId="0" borderId="1" xfId="0" applyBorder="1" applyAlignment="1">
      <alignment wrapText="1"/>
    </xf>
    <xf numFmtId="49" fontId="44" fillId="0" borderId="4" xfId="0" applyNumberFormat="1" applyFont="1" applyBorder="1" applyAlignment="1">
      <alignment horizontal="center" vertical="center"/>
    </xf>
    <xf numFmtId="0" fontId="45" fillId="0" borderId="32" xfId="3" applyFont="1" applyBorder="1"/>
    <xf numFmtId="0" fontId="45" fillId="0" borderId="1" xfId="3" applyFont="1" applyBorder="1"/>
    <xf numFmtId="164" fontId="45" fillId="0" borderId="1" xfId="3" applyNumberFormat="1" applyFont="1" applyBorder="1" applyAlignment="1">
      <alignment horizontal="right"/>
    </xf>
    <xf numFmtId="0" fontId="44" fillId="0" borderId="6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4" fillId="0" borderId="6" xfId="0" applyFont="1" applyBorder="1" applyAlignment="1">
      <alignment vertical="top"/>
    </xf>
    <xf numFmtId="0" fontId="44" fillId="0" borderId="4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9" borderId="6" xfId="0" applyFont="1" applyFill="1" applyBorder="1" applyAlignment="1">
      <alignment horizontal="center" vertical="center"/>
    </xf>
    <xf numFmtId="0" fontId="44" fillId="9" borderId="4" xfId="0" applyFont="1" applyFill="1" applyBorder="1" applyAlignment="1">
      <alignment horizontal="center" vertical="center"/>
    </xf>
    <xf numFmtId="164" fontId="3" fillId="0" borderId="31" xfId="3" applyNumberFormat="1" applyBorder="1" applyAlignment="1">
      <alignment horizontal="right"/>
    </xf>
    <xf numFmtId="0" fontId="1" fillId="0" borderId="1" xfId="3" applyFont="1" applyBorder="1"/>
    <xf numFmtId="0" fontId="41" fillId="8" borderId="1" xfId="3" applyFont="1" applyFill="1" applyBorder="1"/>
    <xf numFmtId="4" fontId="32" fillId="0" borderId="0" xfId="1" applyNumberFormat="1" applyFont="1" applyAlignment="1">
      <alignment horizontal="right" vertical="center"/>
    </xf>
    <xf numFmtId="0" fontId="39" fillId="0" borderId="3" xfId="0" applyFont="1" applyBorder="1" applyAlignment="1">
      <alignment wrapText="1"/>
    </xf>
    <xf numFmtId="0" fontId="44" fillId="0" borderId="3" xfId="0" applyFont="1" applyBorder="1" applyAlignment="1">
      <alignment vertical="top"/>
    </xf>
    <xf numFmtId="0" fontId="44" fillId="0" borderId="3" xfId="0" applyFont="1" applyBorder="1" applyAlignment="1">
      <alignment vertical="center"/>
    </xf>
    <xf numFmtId="164" fontId="39" fillId="0" borderId="3" xfId="0" applyNumberFormat="1" applyFont="1" applyBorder="1" applyAlignment="1">
      <alignment vertical="center"/>
    </xf>
    <xf numFmtId="0" fontId="39" fillId="0" borderId="1" xfId="0" applyFont="1" applyBorder="1" applyAlignment="1">
      <alignment vertical="center" wrapText="1"/>
    </xf>
    <xf numFmtId="0" fontId="44" fillId="0" borderId="1" xfId="0" applyFont="1" applyBorder="1" applyAlignment="1">
      <alignment wrapText="1"/>
    </xf>
    <xf numFmtId="0" fontId="44" fillId="0" borderId="1" xfId="0" applyFont="1" applyBorder="1" applyAlignment="1">
      <alignment vertical="center"/>
    </xf>
    <xf numFmtId="168" fontId="44" fillId="0" borderId="1" xfId="0" applyNumberFormat="1" applyFont="1" applyBorder="1" applyAlignment="1">
      <alignment vertical="center"/>
    </xf>
    <xf numFmtId="0" fontId="39" fillId="0" borderId="1" xfId="0" applyFont="1" applyBorder="1"/>
    <xf numFmtId="0" fontId="44" fillId="0" borderId="1" xfId="0" applyFont="1" applyBorder="1"/>
    <xf numFmtId="0" fontId="39" fillId="0" borderId="1" xfId="0" applyFont="1" applyBorder="1" applyAlignment="1">
      <alignment vertical="top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wrapText="1"/>
    </xf>
    <xf numFmtId="0" fontId="44" fillId="0" borderId="1" xfId="0" applyFont="1" applyBorder="1" applyAlignment="1">
      <alignment vertical="top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 wrapText="1"/>
    </xf>
    <xf numFmtId="164" fontId="39" fillId="0" borderId="3" xfId="0" applyNumberFormat="1" applyFont="1" applyBorder="1" applyAlignment="1">
      <alignment horizontal="right" vertical="center"/>
    </xf>
    <xf numFmtId="0" fontId="39" fillId="0" borderId="1" xfId="0" applyFont="1" applyBorder="1" applyAlignment="1">
      <alignment vertical="top" wrapText="1"/>
    </xf>
    <xf numFmtId="164" fontId="39" fillId="0" borderId="3" xfId="0" applyNumberFormat="1" applyFont="1" applyBorder="1"/>
    <xf numFmtId="164" fontId="39" fillId="0" borderId="5" xfId="0" applyNumberFormat="1" applyFont="1" applyBorder="1"/>
    <xf numFmtId="164" fontId="39" fillId="0" borderId="5" xfId="0" applyNumberFormat="1" applyFont="1" applyBorder="1" applyAlignment="1">
      <alignment vertical="center"/>
    </xf>
    <xf numFmtId="0" fontId="44" fillId="0" borderId="1" xfId="0" applyFont="1" applyBorder="1" applyAlignment="1">
      <alignment vertical="top"/>
    </xf>
    <xf numFmtId="0" fontId="44" fillId="0" borderId="0" xfId="0" applyFont="1" applyAlignment="1">
      <alignment wrapText="1"/>
    </xf>
    <xf numFmtId="0" fontId="44" fillId="0" borderId="1" xfId="0" applyFont="1" applyBorder="1" applyAlignment="1">
      <alignment vertical="center" wrapText="1"/>
    </xf>
    <xf numFmtId="1" fontId="44" fillId="0" borderId="1" xfId="0" applyNumberFormat="1" applyFont="1" applyBorder="1" applyAlignment="1">
      <alignment vertical="center"/>
    </xf>
    <xf numFmtId="164" fontId="44" fillId="0" borderId="3" xfId="0" applyNumberFormat="1" applyFont="1" applyBorder="1"/>
    <xf numFmtId="164" fontId="44" fillId="0" borderId="5" xfId="0" applyNumberFormat="1" applyFont="1" applyBorder="1"/>
    <xf numFmtId="0" fontId="5" fillId="0" borderId="10" xfId="0" applyFont="1" applyBorder="1"/>
    <xf numFmtId="164" fontId="5" fillId="0" borderId="9" xfId="0" applyNumberFormat="1" applyFont="1" applyBorder="1"/>
    <xf numFmtId="0" fontId="44" fillId="0" borderId="3" xfId="0" applyFont="1" applyBorder="1"/>
    <xf numFmtId="0" fontId="39" fillId="0" borderId="3" xfId="0" applyFont="1" applyBorder="1"/>
    <xf numFmtId="164" fontId="44" fillId="0" borderId="3" xfId="0" applyNumberFormat="1" applyFont="1" applyBorder="1" applyAlignment="1">
      <alignment vertical="center"/>
    </xf>
    <xf numFmtId="164" fontId="44" fillId="0" borderId="5" xfId="0" applyNumberFormat="1" applyFont="1" applyBorder="1" applyAlignment="1">
      <alignment vertical="center"/>
    </xf>
    <xf numFmtId="0" fontId="39" fillId="0" borderId="3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39" fillId="0" borderId="3" xfId="0" applyFont="1" applyBorder="1" applyAlignment="1">
      <alignment horizontal="left" vertical="center"/>
    </xf>
    <xf numFmtId="0" fontId="39" fillId="0" borderId="3" xfId="0" applyFont="1" applyBorder="1" applyAlignment="1">
      <alignment horizontal="center" vertical="center"/>
    </xf>
    <xf numFmtId="164" fontId="39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left" wrapText="1"/>
    </xf>
    <xf numFmtId="0" fontId="39" fillId="0" borderId="30" xfId="0" applyFont="1" applyBorder="1" applyAlignment="1">
      <alignment horizontal="center" vertical="center"/>
    </xf>
    <xf numFmtId="0" fontId="44" fillId="0" borderId="1" xfId="0" applyFont="1" applyBorder="1" applyAlignment="1">
      <alignment horizontal="left" wrapText="1"/>
    </xf>
    <xf numFmtId="0" fontId="45" fillId="0" borderId="0" xfId="0" applyFont="1" applyAlignment="1">
      <alignment horizontal="justify" vertical="center"/>
    </xf>
    <xf numFmtId="0" fontId="0" fillId="0" borderId="29" xfId="0" applyBorder="1"/>
    <xf numFmtId="0" fontId="0" fillId="10" borderId="2" xfId="0" applyFill="1" applyBorder="1"/>
    <xf numFmtId="0" fontId="7" fillId="0" borderId="10" xfId="0" applyFont="1" applyBorder="1"/>
    <xf numFmtId="164" fontId="7" fillId="0" borderId="9" xfId="0" applyNumberFormat="1" applyFont="1" applyBorder="1"/>
    <xf numFmtId="0" fontId="47" fillId="0" borderId="0" xfId="0" applyFont="1"/>
    <xf numFmtId="49" fontId="0" fillId="0" borderId="6" xfId="0" applyNumberFormat="1" applyBorder="1" applyAlignment="1">
      <alignment horizontal="center" vertical="center"/>
    </xf>
    <xf numFmtId="0" fontId="47" fillId="0" borderId="0" xfId="3" applyFont="1"/>
    <xf numFmtId="0" fontId="47" fillId="0" borderId="0" xfId="3" applyFont="1" applyAlignment="1">
      <alignment horizontal="center"/>
    </xf>
    <xf numFmtId="4" fontId="48" fillId="0" borderId="0" xfId="1" applyNumberFormat="1" applyFont="1" applyAlignment="1">
      <alignment vertical="center"/>
    </xf>
    <xf numFmtId="0" fontId="49" fillId="0" borderId="0" xfId="1" applyFont="1"/>
    <xf numFmtId="0" fontId="49" fillId="0" borderId="0" xfId="1" applyFont="1" applyAlignment="1">
      <alignment horizontal="right"/>
    </xf>
    <xf numFmtId="0" fontId="39" fillId="0" borderId="3" xfId="0" applyFont="1" applyBorder="1" applyAlignment="1">
      <alignment vertical="top"/>
    </xf>
    <xf numFmtId="0" fontId="39" fillId="0" borderId="3" xfId="0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0" fontId="39" fillId="0" borderId="0" xfId="0" applyFont="1"/>
    <xf numFmtId="164" fontId="39" fillId="0" borderId="1" xfId="0" applyNumberFormat="1" applyFont="1" applyBorder="1" applyAlignment="1">
      <alignment vertical="center"/>
    </xf>
    <xf numFmtId="164" fontId="39" fillId="0" borderId="33" xfId="0" applyNumberFormat="1" applyFont="1" applyBorder="1" applyAlignment="1">
      <alignment vertical="center"/>
    </xf>
    <xf numFmtId="0" fontId="39" fillId="0" borderId="34" xfId="0" applyFont="1" applyBorder="1" applyAlignment="1">
      <alignment wrapText="1"/>
    </xf>
    <xf numFmtId="164" fontId="39" fillId="0" borderId="0" xfId="0" applyNumberFormat="1" applyFont="1" applyAlignment="1">
      <alignment vertical="center"/>
    </xf>
    <xf numFmtId="0" fontId="39" fillId="0" borderId="7" xfId="0" applyFont="1" applyBorder="1" applyAlignment="1">
      <alignment vertical="center"/>
    </xf>
    <xf numFmtId="0" fontId="42" fillId="0" borderId="10" xfId="0" applyFont="1" applyBorder="1"/>
    <xf numFmtId="0" fontId="39" fillId="0" borderId="8" xfId="0" applyFont="1" applyBorder="1"/>
    <xf numFmtId="164" fontId="42" fillId="0" borderId="9" xfId="0" applyNumberFormat="1" applyFont="1" applyBorder="1"/>
    <xf numFmtId="0" fontId="42" fillId="0" borderId="1" xfId="0" applyFont="1" applyBorder="1" applyAlignment="1">
      <alignment wrapText="1"/>
    </xf>
    <xf numFmtId="0" fontId="41" fillId="0" borderId="1" xfId="0" applyFont="1" applyBorder="1" applyAlignment="1">
      <alignment vertical="center" wrapText="1"/>
    </xf>
    <xf numFmtId="164" fontId="39" fillId="0" borderId="1" xfId="0" applyNumberFormat="1" applyFont="1" applyBorder="1" applyAlignment="1">
      <alignment horizontal="right" vertical="center"/>
    </xf>
    <xf numFmtId="164" fontId="39" fillId="0" borderId="33" xfId="0" applyNumberFormat="1" applyFont="1" applyBorder="1" applyAlignment="1">
      <alignment horizontal="right" vertical="center"/>
    </xf>
    <xf numFmtId="0" fontId="41" fillId="0" borderId="0" xfId="0" applyFont="1" applyAlignment="1">
      <alignment vertical="center" wrapText="1"/>
    </xf>
    <xf numFmtId="164" fontId="39" fillId="0" borderId="1" xfId="0" applyNumberFormat="1" applyFont="1" applyBorder="1"/>
    <xf numFmtId="0" fontId="39" fillId="0" borderId="30" xfId="0" applyFont="1" applyBorder="1"/>
    <xf numFmtId="164" fontId="39" fillId="0" borderId="33" xfId="0" applyNumberFormat="1" applyFont="1" applyBorder="1"/>
    <xf numFmtId="0" fontId="41" fillId="0" borderId="36" xfId="0" applyFont="1" applyBorder="1" applyAlignment="1">
      <alignment vertical="center" wrapText="1"/>
    </xf>
    <xf numFmtId="0" fontId="39" fillId="0" borderId="36" xfId="0" applyFont="1" applyBorder="1"/>
    <xf numFmtId="0" fontId="39" fillId="0" borderId="36" xfId="0" applyFont="1" applyBorder="1" applyAlignment="1">
      <alignment horizontal="left" vertical="center"/>
    </xf>
    <xf numFmtId="0" fontId="39" fillId="0" borderId="36" xfId="0" applyFont="1" applyBorder="1" applyAlignment="1">
      <alignment horizontal="center" vertical="center"/>
    </xf>
    <xf numFmtId="164" fontId="39" fillId="0" borderId="36" xfId="0" applyNumberFormat="1" applyFont="1" applyBorder="1" applyAlignment="1">
      <alignment horizontal="right" vertical="center"/>
    </xf>
    <xf numFmtId="164" fontId="39" fillId="0" borderId="37" xfId="0" applyNumberFormat="1" applyFont="1" applyBorder="1" applyAlignment="1">
      <alignment horizontal="right" vertical="center"/>
    </xf>
    <xf numFmtId="0" fontId="41" fillId="7" borderId="3" xfId="3" applyFont="1" applyFill="1" applyBorder="1"/>
    <xf numFmtId="0" fontId="41" fillId="0" borderId="1" xfId="3" applyFont="1" applyBorder="1" applyAlignment="1">
      <alignment horizontal="center"/>
    </xf>
    <xf numFmtId="0" fontId="41" fillId="0" borderId="0" xfId="3" applyFont="1"/>
    <xf numFmtId="0" fontId="41" fillId="7" borderId="1" xfId="3" applyFont="1" applyFill="1" applyBorder="1"/>
    <xf numFmtId="0" fontId="41" fillId="0" borderId="0" xfId="3" applyFont="1" applyAlignment="1">
      <alignment horizontal="center"/>
    </xf>
    <xf numFmtId="164" fontId="41" fillId="0" borderId="1" xfId="3" applyNumberFormat="1" applyFont="1" applyBorder="1" applyAlignment="1">
      <alignment horizontal="right"/>
    </xf>
    <xf numFmtId="0" fontId="41" fillId="8" borderId="32" xfId="3" applyFont="1" applyFill="1" applyBorder="1"/>
    <xf numFmtId="164" fontId="41" fillId="0" borderId="1" xfId="0" applyNumberFormat="1" applyFont="1" applyBorder="1" applyAlignment="1">
      <alignment horizontal="right"/>
    </xf>
    <xf numFmtId="164" fontId="41" fillId="0" borderId="0" xfId="3" applyNumberFormat="1" applyFont="1"/>
    <xf numFmtId="164" fontId="41" fillId="0" borderId="31" xfId="3" applyNumberFormat="1" applyFont="1" applyBorder="1" applyAlignment="1">
      <alignment horizontal="right"/>
    </xf>
    <xf numFmtId="164" fontId="41" fillId="0" borderId="0" xfId="3" applyNumberFormat="1" applyFont="1" applyAlignment="1">
      <alignment horizontal="right"/>
    </xf>
    <xf numFmtId="164" fontId="41" fillId="0" borderId="2" xfId="3" applyNumberFormat="1" applyFont="1" applyBorder="1" applyAlignment="1">
      <alignment horizontal="right"/>
    </xf>
    <xf numFmtId="49" fontId="39" fillId="0" borderId="6" xfId="0" applyNumberFormat="1" applyFont="1" applyBorder="1" applyAlignment="1">
      <alignment horizontal="center" vertical="center"/>
    </xf>
    <xf numFmtId="49" fontId="39" fillId="0" borderId="35" xfId="0" applyNumberFormat="1" applyFont="1" applyBorder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8" fillId="0" borderId="0" xfId="1"/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16" fillId="0" borderId="0" xfId="1" applyFont="1" applyAlignment="1">
      <alignment horizontal="left" vertical="top" wrapText="1"/>
    </xf>
    <xf numFmtId="49" fontId="14" fillId="3" borderId="0" xfId="1" applyNumberFormat="1" applyFont="1" applyFill="1" applyAlignment="1" applyProtection="1">
      <alignment horizontal="left" vertical="center"/>
      <protection locked="0"/>
    </xf>
    <xf numFmtId="49" fontId="14" fillId="0" borderId="0" xfId="1" applyNumberFormat="1" applyFont="1" applyAlignment="1">
      <alignment horizontal="left" vertical="center"/>
    </xf>
    <xf numFmtId="0" fontId="14" fillId="0" borderId="0" xfId="1" applyFont="1" applyAlignment="1">
      <alignment horizontal="left" vertical="center" wrapText="1"/>
    </xf>
    <xf numFmtId="4" fontId="17" fillId="0" borderId="15" xfId="1" applyNumberFormat="1" applyFont="1" applyBorder="1" applyAlignment="1">
      <alignment vertical="center"/>
    </xf>
    <xf numFmtId="0" fontId="8" fillId="0" borderId="15" xfId="1" applyBorder="1" applyAlignment="1">
      <alignment vertical="center"/>
    </xf>
    <xf numFmtId="0" fontId="13" fillId="0" borderId="0" xfId="1" applyFont="1" applyAlignment="1">
      <alignment horizontal="right" vertical="center"/>
    </xf>
    <xf numFmtId="165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165" fontId="13" fillId="0" borderId="0" xfId="1" applyNumberFormat="1" applyFont="1" applyAlignment="1">
      <alignment horizontal="left" vertical="center"/>
    </xf>
    <xf numFmtId="0" fontId="13" fillId="0" borderId="0" xfId="1" applyFont="1" applyAlignment="1">
      <alignment vertical="center"/>
    </xf>
    <xf numFmtId="4" fontId="21" fillId="0" borderId="0" xfId="1" applyNumberFormat="1" applyFont="1" applyAlignment="1">
      <alignment vertical="center"/>
    </xf>
    <xf numFmtId="165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vertical="center"/>
    </xf>
    <xf numFmtId="4" fontId="22" fillId="0" borderId="0" xfId="1" applyNumberFormat="1" applyFont="1" applyAlignment="1">
      <alignment vertical="center"/>
    </xf>
    <xf numFmtId="0" fontId="23" fillId="5" borderId="17" xfId="1" applyFont="1" applyFill="1" applyBorder="1" applyAlignment="1">
      <alignment horizontal="left" vertical="center"/>
    </xf>
    <xf numFmtId="0" fontId="8" fillId="5" borderId="17" xfId="1" applyFill="1" applyBorder="1" applyAlignment="1">
      <alignment vertical="center"/>
    </xf>
    <xf numFmtId="4" fontId="23" fillId="5" borderId="17" xfId="1" applyNumberFormat="1" applyFont="1" applyFill="1" applyBorder="1" applyAlignment="1">
      <alignment vertical="center"/>
    </xf>
    <xf numFmtId="0" fontId="8" fillId="5" borderId="18" xfId="1" applyFill="1" applyBorder="1" applyAlignment="1">
      <alignment vertical="center"/>
    </xf>
    <xf numFmtId="166" fontId="14" fillId="0" borderId="0" xfId="1" applyNumberFormat="1" applyFont="1" applyAlignment="1">
      <alignment horizontal="left" vertical="center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25" fillId="0" borderId="21" xfId="1" applyFont="1" applyBorder="1" applyAlignment="1">
      <alignment horizontal="center" vertical="center"/>
    </xf>
    <xf numFmtId="0" fontId="25" fillId="0" borderId="22" xfId="1" applyFont="1" applyBorder="1" applyAlignment="1">
      <alignment horizontal="left" vertical="center"/>
    </xf>
    <xf numFmtId="0" fontId="26" fillId="0" borderId="24" xfId="1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7" fillId="6" borderId="16" xfId="1" applyFont="1" applyFill="1" applyBorder="1" applyAlignment="1">
      <alignment horizontal="center" vertical="center"/>
    </xf>
    <xf numFmtId="0" fontId="27" fillId="6" borderId="17" xfId="1" applyFont="1" applyFill="1" applyBorder="1" applyAlignment="1">
      <alignment horizontal="left" vertical="center"/>
    </xf>
    <xf numFmtId="0" fontId="27" fillId="6" borderId="17" xfId="1" applyFont="1" applyFill="1" applyBorder="1" applyAlignment="1">
      <alignment horizontal="center" vertical="center"/>
    </xf>
    <xf numFmtId="0" fontId="27" fillId="6" borderId="17" xfId="1" applyFont="1" applyFill="1" applyBorder="1" applyAlignment="1">
      <alignment horizontal="right" vertical="center"/>
    </xf>
    <xf numFmtId="0" fontId="27" fillId="6" borderId="18" xfId="1" applyFont="1" applyFill="1" applyBorder="1" applyAlignment="1">
      <alignment horizontal="left" vertical="center"/>
    </xf>
    <xf numFmtId="4" fontId="29" fillId="0" borderId="0" xfId="1" applyNumberFormat="1" applyFont="1" applyAlignment="1">
      <alignment horizontal="right" vertical="center"/>
    </xf>
    <xf numFmtId="4" fontId="29" fillId="0" borderId="0" xfId="1" applyNumberFormat="1" applyFont="1" applyAlignment="1">
      <alignment vertical="center"/>
    </xf>
    <xf numFmtId="0" fontId="31" fillId="0" borderId="0" xfId="1" applyFont="1" applyAlignment="1">
      <alignment horizontal="left" vertical="center" wrapText="1"/>
    </xf>
    <xf numFmtId="4" fontId="32" fillId="0" borderId="0" xfId="1" applyNumberFormat="1" applyFont="1" applyAlignment="1">
      <alignment horizontal="right" vertical="center"/>
    </xf>
    <xf numFmtId="0" fontId="32" fillId="0" borderId="0" xfId="1" applyFont="1" applyAlignment="1">
      <alignment vertical="center"/>
    </xf>
    <xf numFmtId="4" fontId="32" fillId="0" borderId="0" xfId="1" applyNumberFormat="1" applyFont="1" applyAlignment="1">
      <alignment vertical="center"/>
    </xf>
  </cellXfs>
  <cellStyles count="4">
    <cellStyle name="Hypertextový odkaz 2" xfId="2" xr:uid="{970CAFD1-39AD-40AE-9CA5-4C5EC14A47F9}"/>
    <cellStyle name="Normální" xfId="0" builtinId="0"/>
    <cellStyle name="Normální 2" xfId="1" xr:uid="{0559BD02-23A6-4D17-98E0-5C5E613F7611}"/>
    <cellStyle name="Normální 3" xfId="3" xr:uid="{65691056-81DF-406C-9843-8F1EF8AC07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&#225;loha%20U\OSVC\21_005_PD_Kompresorov&#225;%20stanice\Soupis%20prac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 stavby"/>
      <sheetName val="D1.1_Bourací"/>
      <sheetName val="D1.4_VZT"/>
      <sheetName val="D2.1_Technologie KS"/>
      <sheetName val="D2.2_Silnoproud a MaR"/>
    </sheetNames>
    <sheetDataSet>
      <sheetData sheetId="0"/>
      <sheetData sheetId="1"/>
      <sheetData sheetId="2"/>
      <sheetData sheetId="3">
        <row r="37">
          <cell r="F37" t="e">
            <v>#REF!</v>
          </cell>
          <cell r="J37" t="e">
            <v>#REF!</v>
          </cell>
        </row>
        <row r="38">
          <cell r="F38" t="e">
            <v>#REF!</v>
          </cell>
          <cell r="J38" t="e">
            <v>#REF!</v>
          </cell>
        </row>
        <row r="39">
          <cell r="F39" t="e">
            <v>#REF!</v>
          </cell>
          <cell r="J39">
            <v>0</v>
          </cell>
        </row>
        <row r="40">
          <cell r="F40" t="e">
            <v>#REF!</v>
          </cell>
          <cell r="J40">
            <v>0</v>
          </cell>
        </row>
        <row r="41">
          <cell r="F41" t="e">
            <v>#REF!</v>
          </cell>
        </row>
        <row r="130">
          <cell r="P130" t="e">
            <v>#REF!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E0BD-BAD1-442D-AA87-E9A2037A4C7E}">
  <sheetPr>
    <pageSetUpPr fitToPage="1"/>
  </sheetPr>
  <dimension ref="A1:CM100"/>
  <sheetViews>
    <sheetView showGridLines="0" topLeftCell="A80" zoomScale="60" zoomScaleNormal="60" workbookViewId="0">
      <selection activeCell="AI105" sqref="AI105"/>
    </sheetView>
  </sheetViews>
  <sheetFormatPr defaultColWidth="9" defaultRowHeight="11.25" x14ac:dyDescent="0.2"/>
  <cols>
    <col min="1" max="1" width="6.25" style="12" customWidth="1"/>
    <col min="2" max="2" width="1.25" style="12" customWidth="1"/>
    <col min="3" max="3" width="3.125" style="12" customWidth="1"/>
    <col min="4" max="33" width="2" style="12" customWidth="1"/>
    <col min="34" max="34" width="2.5" style="12" customWidth="1"/>
    <col min="35" max="35" width="23.75" style="12" customWidth="1"/>
    <col min="36" max="37" width="1.875" style="12" customWidth="1"/>
    <col min="38" max="38" width="6.25" style="12" customWidth="1"/>
    <col min="39" max="39" width="2.5" style="12" customWidth="1"/>
    <col min="40" max="40" width="10" style="12" customWidth="1"/>
    <col min="41" max="41" width="5.625" style="12" customWidth="1"/>
    <col min="42" max="42" width="3.125" style="12" customWidth="1"/>
    <col min="43" max="43" width="11.75" style="12" hidden="1" customWidth="1"/>
    <col min="44" max="44" width="10.25" style="12" customWidth="1"/>
    <col min="45" max="47" width="19.375" style="12" hidden="1" customWidth="1"/>
    <col min="48" max="49" width="16.25" style="12" hidden="1" customWidth="1"/>
    <col min="50" max="51" width="18.75" style="12" hidden="1" customWidth="1"/>
    <col min="52" max="52" width="16.25" style="12" hidden="1" customWidth="1"/>
    <col min="53" max="53" width="14.375" style="12" hidden="1" customWidth="1"/>
    <col min="54" max="54" width="18.75" style="12" hidden="1" customWidth="1"/>
    <col min="55" max="55" width="16.25" style="12" hidden="1" customWidth="1"/>
    <col min="56" max="56" width="14.375" style="12" hidden="1" customWidth="1"/>
    <col min="57" max="57" width="49.875" style="12" customWidth="1"/>
    <col min="58" max="16384" width="9" style="12"/>
  </cols>
  <sheetData>
    <row r="1" spans="1:74" x14ac:dyDescent="0.2">
      <c r="A1" s="11" t="s">
        <v>25</v>
      </c>
      <c r="AZ1" s="11" t="s">
        <v>26</v>
      </c>
      <c r="BA1" s="11" t="s">
        <v>27</v>
      </c>
      <c r="BB1" s="11" t="s">
        <v>26</v>
      </c>
      <c r="BT1" s="11" t="s">
        <v>28</v>
      </c>
      <c r="BU1" s="11" t="s">
        <v>28</v>
      </c>
      <c r="BV1" s="11" t="s">
        <v>29</v>
      </c>
    </row>
    <row r="2" spans="1:74" ht="36.950000000000003" customHeight="1" x14ac:dyDescent="0.2">
      <c r="AR2" s="244" t="s">
        <v>30</v>
      </c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S2" s="13" t="s">
        <v>31</v>
      </c>
      <c r="BT2" s="13" t="s">
        <v>32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31</v>
      </c>
      <c r="BT3" s="13" t="s">
        <v>32</v>
      </c>
    </row>
    <row r="4" spans="1:74" ht="24.95" customHeight="1" x14ac:dyDescent="0.2">
      <c r="B4" s="16"/>
      <c r="D4" s="17" t="s">
        <v>33</v>
      </c>
      <c r="AR4" s="16"/>
      <c r="AS4" s="18" t="s">
        <v>34</v>
      </c>
      <c r="BE4" s="19" t="s">
        <v>35</v>
      </c>
      <c r="BS4" s="13" t="s">
        <v>36</v>
      </c>
    </row>
    <row r="5" spans="1:74" ht="12" customHeight="1" x14ac:dyDescent="0.2">
      <c r="B5" s="16"/>
      <c r="D5" s="20" t="s">
        <v>37</v>
      </c>
      <c r="K5" s="246" t="s">
        <v>98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R5" s="16"/>
      <c r="BE5" s="247" t="s">
        <v>38</v>
      </c>
      <c r="BS5" s="13" t="s">
        <v>31</v>
      </c>
    </row>
    <row r="6" spans="1:74" ht="36.950000000000003" customHeight="1" x14ac:dyDescent="0.2">
      <c r="B6" s="16"/>
      <c r="D6" s="22" t="s">
        <v>39</v>
      </c>
      <c r="K6" s="250" t="s">
        <v>99</v>
      </c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R6" s="16"/>
      <c r="BE6" s="248"/>
      <c r="BS6" s="13" t="s">
        <v>31</v>
      </c>
    </row>
    <row r="7" spans="1:74" ht="12" customHeight="1" x14ac:dyDescent="0.2">
      <c r="B7" s="16"/>
      <c r="D7" s="23" t="s">
        <v>40</v>
      </c>
      <c r="K7" s="21" t="s">
        <v>26</v>
      </c>
      <c r="AK7" s="23" t="s">
        <v>41</v>
      </c>
      <c r="AN7" s="21" t="s">
        <v>26</v>
      </c>
      <c r="AR7" s="16"/>
      <c r="BE7" s="248"/>
      <c r="BS7" s="13" t="s">
        <v>31</v>
      </c>
    </row>
    <row r="8" spans="1:74" ht="12" customHeight="1" x14ac:dyDescent="0.2">
      <c r="B8" s="16"/>
      <c r="D8" s="23" t="s">
        <v>42</v>
      </c>
      <c r="K8" s="21" t="s">
        <v>100</v>
      </c>
      <c r="AK8" s="23" t="s">
        <v>43</v>
      </c>
      <c r="AN8" s="24">
        <v>44795</v>
      </c>
      <c r="AR8" s="16"/>
      <c r="BE8" s="248"/>
      <c r="BS8" s="13" t="s">
        <v>31</v>
      </c>
    </row>
    <row r="9" spans="1:74" ht="14.45" customHeight="1" x14ac:dyDescent="0.2">
      <c r="B9" s="16"/>
      <c r="AR9" s="16"/>
      <c r="BE9" s="248"/>
      <c r="BS9" s="13" t="s">
        <v>31</v>
      </c>
    </row>
    <row r="10" spans="1:74" ht="12" customHeight="1" x14ac:dyDescent="0.2">
      <c r="B10" s="16"/>
      <c r="D10" s="23" t="s">
        <v>44</v>
      </c>
      <c r="AK10" s="23" t="s">
        <v>45</v>
      </c>
      <c r="AN10" s="21" t="s">
        <v>26</v>
      </c>
      <c r="AR10" s="16"/>
      <c r="BE10" s="248"/>
      <c r="BS10" s="13" t="s">
        <v>31</v>
      </c>
    </row>
    <row r="11" spans="1:74" ht="18.399999999999999" customHeight="1" x14ac:dyDescent="0.2">
      <c r="B11" s="16"/>
      <c r="E11" s="21" t="s">
        <v>101</v>
      </c>
      <c r="AK11" s="23" t="s">
        <v>46</v>
      </c>
      <c r="AN11" s="21" t="s">
        <v>26</v>
      </c>
      <c r="AR11" s="16"/>
      <c r="BE11" s="248"/>
      <c r="BS11" s="13" t="s">
        <v>31</v>
      </c>
    </row>
    <row r="12" spans="1:74" ht="6.95" customHeight="1" x14ac:dyDescent="0.2">
      <c r="B12" s="16"/>
      <c r="AR12" s="16"/>
      <c r="BE12" s="248"/>
      <c r="BS12" s="13" t="s">
        <v>31</v>
      </c>
    </row>
    <row r="13" spans="1:74" ht="12" customHeight="1" x14ac:dyDescent="0.2">
      <c r="B13" s="16"/>
      <c r="D13" s="23" t="s">
        <v>47</v>
      </c>
      <c r="AK13" s="23" t="s">
        <v>45</v>
      </c>
      <c r="AN13" s="25"/>
      <c r="AR13" s="16"/>
      <c r="BE13" s="248"/>
      <c r="BS13" s="13" t="s">
        <v>31</v>
      </c>
    </row>
    <row r="14" spans="1:74" ht="12.75" x14ac:dyDescent="0.2">
      <c r="B14" s="16"/>
      <c r="E14" s="251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3" t="s">
        <v>46</v>
      </c>
      <c r="AN14" s="25"/>
      <c r="AR14" s="16"/>
      <c r="BE14" s="248"/>
      <c r="BS14" s="13" t="s">
        <v>31</v>
      </c>
    </row>
    <row r="15" spans="1:74" ht="6.95" customHeight="1" x14ac:dyDescent="0.2">
      <c r="B15" s="16"/>
      <c r="AR15" s="16"/>
      <c r="BE15" s="248"/>
      <c r="BS15" s="13" t="s">
        <v>28</v>
      </c>
    </row>
    <row r="16" spans="1:74" ht="12" customHeight="1" x14ac:dyDescent="0.2">
      <c r="B16" s="16"/>
      <c r="D16" s="23" t="s">
        <v>48</v>
      </c>
      <c r="AK16" s="23" t="s">
        <v>45</v>
      </c>
      <c r="AL16" s="12">
        <v>7447981</v>
      </c>
      <c r="AN16" s="21" t="s">
        <v>26</v>
      </c>
      <c r="AR16" s="16"/>
      <c r="BE16" s="248"/>
      <c r="BS16" s="13" t="s">
        <v>28</v>
      </c>
    </row>
    <row r="17" spans="2:71" ht="18.399999999999999" customHeight="1" x14ac:dyDescent="0.2">
      <c r="B17" s="16"/>
      <c r="E17" s="21" t="s">
        <v>49</v>
      </c>
      <c r="AK17" s="23" t="s">
        <v>46</v>
      </c>
      <c r="AN17" s="21" t="s">
        <v>26</v>
      </c>
      <c r="AR17" s="16"/>
      <c r="BE17" s="248"/>
      <c r="BS17" s="13" t="s">
        <v>50</v>
      </c>
    </row>
    <row r="18" spans="2:71" ht="6.95" customHeight="1" x14ac:dyDescent="0.2">
      <c r="B18" s="16"/>
      <c r="AR18" s="16"/>
      <c r="BE18" s="248"/>
      <c r="BS18" s="13" t="s">
        <v>31</v>
      </c>
    </row>
    <row r="19" spans="2:71" ht="12" customHeight="1" x14ac:dyDescent="0.2">
      <c r="B19" s="16"/>
      <c r="D19" s="23" t="s">
        <v>51</v>
      </c>
      <c r="AK19" s="23" t="s">
        <v>45</v>
      </c>
      <c r="AN19" s="21" t="s">
        <v>26</v>
      </c>
      <c r="AR19" s="16"/>
      <c r="BE19" s="248"/>
      <c r="BS19" s="13" t="s">
        <v>31</v>
      </c>
    </row>
    <row r="20" spans="2:71" ht="18.399999999999999" customHeight="1" x14ac:dyDescent="0.2">
      <c r="B20" s="16"/>
      <c r="E20" s="21" t="s">
        <v>52</v>
      </c>
      <c r="AK20" s="23" t="s">
        <v>46</v>
      </c>
      <c r="AN20" s="21" t="s">
        <v>26</v>
      </c>
      <c r="AR20" s="16"/>
      <c r="BE20" s="248"/>
      <c r="BS20" s="13" t="s">
        <v>50</v>
      </c>
    </row>
    <row r="21" spans="2:71" ht="6.95" customHeight="1" x14ac:dyDescent="0.2">
      <c r="B21" s="16"/>
      <c r="AR21" s="16"/>
      <c r="BE21" s="248"/>
    </row>
    <row r="22" spans="2:71" ht="12" customHeight="1" x14ac:dyDescent="0.2">
      <c r="B22" s="16"/>
      <c r="D22" s="23" t="s">
        <v>53</v>
      </c>
      <c r="AR22" s="16"/>
      <c r="BE22" s="248"/>
    </row>
    <row r="23" spans="2:71" ht="16.5" customHeight="1" x14ac:dyDescent="0.2">
      <c r="B23" s="16"/>
      <c r="E23" s="253" t="s">
        <v>26</v>
      </c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R23" s="16"/>
      <c r="BE23" s="248"/>
    </row>
    <row r="24" spans="2:71" ht="6.95" customHeight="1" x14ac:dyDescent="0.2">
      <c r="B24" s="16"/>
      <c r="AR24" s="16"/>
      <c r="BE24" s="248"/>
    </row>
    <row r="25" spans="2:71" ht="6.95" customHeight="1" x14ac:dyDescent="0.2">
      <c r="B25" s="1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6"/>
      <c r="BE25" s="248"/>
    </row>
    <row r="26" spans="2:71" s="27" customFormat="1" ht="25.9" customHeight="1" x14ac:dyDescent="0.25">
      <c r="B26" s="28"/>
      <c r="D26" s="29" t="s">
        <v>54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54">
        <f>ROUND(AG94,2)</f>
        <v>12254648.41</v>
      </c>
      <c r="AL26" s="255"/>
      <c r="AM26" s="255"/>
      <c r="AN26" s="255"/>
      <c r="AO26" s="255"/>
      <c r="AR26" s="28"/>
      <c r="BE26" s="248"/>
    </row>
    <row r="27" spans="2:71" s="27" customFormat="1" ht="6.95" customHeight="1" x14ac:dyDescent="0.25">
      <c r="B27" s="28"/>
      <c r="AR27" s="28"/>
      <c r="BE27" s="248"/>
    </row>
    <row r="28" spans="2:71" s="27" customFormat="1" ht="12.75" x14ac:dyDescent="0.25">
      <c r="B28" s="28"/>
      <c r="L28" s="256" t="s">
        <v>55</v>
      </c>
      <c r="M28" s="256"/>
      <c r="N28" s="256"/>
      <c r="O28" s="256"/>
      <c r="P28" s="256"/>
      <c r="W28" s="256" t="s">
        <v>56</v>
      </c>
      <c r="X28" s="256"/>
      <c r="Y28" s="256"/>
      <c r="Z28" s="256"/>
      <c r="AA28" s="256"/>
      <c r="AB28" s="256"/>
      <c r="AC28" s="256"/>
      <c r="AD28" s="256"/>
      <c r="AE28" s="256"/>
      <c r="AK28" s="256" t="s">
        <v>57</v>
      </c>
      <c r="AL28" s="256"/>
      <c r="AM28" s="256"/>
      <c r="AN28" s="256"/>
      <c r="AO28" s="256"/>
      <c r="AR28" s="28"/>
      <c r="BE28" s="248"/>
    </row>
    <row r="29" spans="2:71" s="31" customFormat="1" ht="14.45" customHeight="1" x14ac:dyDescent="0.25">
      <c r="B29" s="32"/>
      <c r="D29" s="23" t="s">
        <v>58</v>
      </c>
      <c r="F29" s="33" t="s">
        <v>59</v>
      </c>
      <c r="G29" s="34"/>
      <c r="H29" s="34"/>
      <c r="I29" s="34"/>
      <c r="J29" s="34"/>
      <c r="K29" s="34"/>
      <c r="L29" s="257">
        <v>0.21</v>
      </c>
      <c r="M29" s="258"/>
      <c r="N29" s="258"/>
      <c r="O29" s="258"/>
      <c r="P29" s="258"/>
      <c r="Q29" s="35"/>
      <c r="R29" s="35"/>
      <c r="S29" s="35"/>
      <c r="T29" s="35"/>
      <c r="U29" s="35"/>
      <c r="V29" s="35"/>
      <c r="W29" s="259" t="e">
        <f>ROUND(AZ94, 2)</f>
        <v>#REF!</v>
      </c>
      <c r="X29" s="258"/>
      <c r="Y29" s="258"/>
      <c r="Z29" s="258"/>
      <c r="AA29" s="258"/>
      <c r="AB29" s="258"/>
      <c r="AC29" s="258"/>
      <c r="AD29" s="258"/>
      <c r="AE29" s="258"/>
      <c r="AF29" s="34"/>
      <c r="AG29" s="34"/>
      <c r="AH29" s="34"/>
      <c r="AI29" s="34"/>
      <c r="AJ29" s="34"/>
      <c r="AK29" s="259" t="e">
        <f>ROUND(AV94, 2)</f>
        <v>#REF!</v>
      </c>
      <c r="AL29" s="258"/>
      <c r="AM29" s="258"/>
      <c r="AN29" s="258"/>
      <c r="AO29" s="258"/>
      <c r="AP29" s="35"/>
      <c r="AQ29" s="35"/>
      <c r="AR29" s="36"/>
      <c r="AS29" s="35"/>
      <c r="AT29" s="35"/>
      <c r="AU29" s="35"/>
      <c r="AV29" s="35"/>
      <c r="AW29" s="35"/>
      <c r="AX29" s="35"/>
      <c r="AY29" s="35"/>
      <c r="AZ29" s="35"/>
      <c r="BE29" s="249"/>
    </row>
    <row r="30" spans="2:71" s="31" customFormat="1" ht="14.45" customHeight="1" x14ac:dyDescent="0.25">
      <c r="B30" s="32"/>
      <c r="F30" s="33" t="s">
        <v>60</v>
      </c>
      <c r="G30" s="34"/>
      <c r="H30" s="34"/>
      <c r="I30" s="34"/>
      <c r="J30" s="34"/>
      <c r="K30" s="34"/>
      <c r="L30" s="257">
        <v>0.15</v>
      </c>
      <c r="M30" s="258"/>
      <c r="N30" s="258"/>
      <c r="O30" s="258"/>
      <c r="P30" s="258"/>
      <c r="Q30" s="35"/>
      <c r="R30" s="35"/>
      <c r="S30" s="35"/>
      <c r="T30" s="35"/>
      <c r="U30" s="35"/>
      <c r="V30" s="35"/>
      <c r="W30" s="259" t="e">
        <f>ROUND(BA94, 2)</f>
        <v>#REF!</v>
      </c>
      <c r="X30" s="258"/>
      <c r="Y30" s="258"/>
      <c r="Z30" s="258"/>
      <c r="AA30" s="258"/>
      <c r="AB30" s="258"/>
      <c r="AC30" s="258"/>
      <c r="AD30" s="258"/>
      <c r="AE30" s="258"/>
      <c r="AF30" s="34"/>
      <c r="AG30" s="34"/>
      <c r="AH30" s="34"/>
      <c r="AI30" s="34"/>
      <c r="AJ30" s="34"/>
      <c r="AK30" s="259" t="e">
        <f>ROUND(AW94, 2)</f>
        <v>#REF!</v>
      </c>
      <c r="AL30" s="258"/>
      <c r="AM30" s="258"/>
      <c r="AN30" s="258"/>
      <c r="AO30" s="258"/>
      <c r="AP30" s="35"/>
      <c r="AQ30" s="35"/>
      <c r="AR30" s="36"/>
      <c r="AS30" s="35"/>
      <c r="AT30" s="35"/>
      <c r="AU30" s="35"/>
      <c r="AV30" s="35"/>
      <c r="AW30" s="35"/>
      <c r="AX30" s="35"/>
      <c r="AY30" s="35"/>
      <c r="AZ30" s="35"/>
      <c r="BE30" s="249"/>
    </row>
    <row r="31" spans="2:71" s="31" customFormat="1" ht="14.45" hidden="1" customHeight="1" x14ac:dyDescent="0.25">
      <c r="B31" s="32"/>
      <c r="F31" s="23" t="s">
        <v>61</v>
      </c>
      <c r="L31" s="262">
        <v>0.2</v>
      </c>
      <c r="M31" s="263"/>
      <c r="N31" s="263"/>
      <c r="O31" s="263"/>
      <c r="P31" s="263"/>
      <c r="W31" s="264" t="e">
        <f>ROUND(BB94, 2)</f>
        <v>#REF!</v>
      </c>
      <c r="X31" s="263"/>
      <c r="Y31" s="263"/>
      <c r="Z31" s="263"/>
      <c r="AA31" s="263"/>
      <c r="AB31" s="263"/>
      <c r="AC31" s="263"/>
      <c r="AD31" s="263"/>
      <c r="AE31" s="263"/>
      <c r="AK31" s="264">
        <v>0</v>
      </c>
      <c r="AL31" s="263"/>
      <c r="AM31" s="263"/>
      <c r="AN31" s="263"/>
      <c r="AO31" s="263"/>
      <c r="AR31" s="32"/>
      <c r="BE31" s="249"/>
    </row>
    <row r="32" spans="2:71" s="31" customFormat="1" ht="14.45" hidden="1" customHeight="1" x14ac:dyDescent="0.25">
      <c r="B32" s="32"/>
      <c r="F32" s="23" t="s">
        <v>62</v>
      </c>
      <c r="L32" s="262">
        <v>0.2</v>
      </c>
      <c r="M32" s="263"/>
      <c r="N32" s="263"/>
      <c r="O32" s="263"/>
      <c r="P32" s="263"/>
      <c r="W32" s="264" t="e">
        <f>ROUND(BC94, 2)</f>
        <v>#REF!</v>
      </c>
      <c r="X32" s="263"/>
      <c r="Y32" s="263"/>
      <c r="Z32" s="263"/>
      <c r="AA32" s="263"/>
      <c r="AB32" s="263"/>
      <c r="AC32" s="263"/>
      <c r="AD32" s="263"/>
      <c r="AE32" s="263"/>
      <c r="AK32" s="264">
        <v>0</v>
      </c>
      <c r="AL32" s="263"/>
      <c r="AM32" s="263"/>
      <c r="AN32" s="263"/>
      <c r="AO32" s="263"/>
      <c r="AR32" s="32"/>
      <c r="BE32" s="249"/>
    </row>
    <row r="33" spans="2:57" s="31" customFormat="1" ht="14.45" hidden="1" customHeight="1" x14ac:dyDescent="0.25">
      <c r="B33" s="32"/>
      <c r="F33" s="37" t="s">
        <v>63</v>
      </c>
      <c r="L33" s="265">
        <v>0</v>
      </c>
      <c r="M33" s="266"/>
      <c r="N33" s="266"/>
      <c r="O33" s="266"/>
      <c r="P33" s="266"/>
      <c r="Q33" s="35"/>
      <c r="R33" s="35"/>
      <c r="S33" s="35"/>
      <c r="T33" s="35"/>
      <c r="U33" s="35"/>
      <c r="V33" s="35"/>
      <c r="W33" s="267" t="e">
        <f>ROUND(BD94, 2)</f>
        <v>#REF!</v>
      </c>
      <c r="X33" s="266"/>
      <c r="Y33" s="266"/>
      <c r="Z33" s="266"/>
      <c r="AA33" s="266"/>
      <c r="AB33" s="266"/>
      <c r="AC33" s="266"/>
      <c r="AD33" s="266"/>
      <c r="AE33" s="266"/>
      <c r="AF33" s="35"/>
      <c r="AG33" s="35"/>
      <c r="AH33" s="35"/>
      <c r="AI33" s="35"/>
      <c r="AJ33" s="35"/>
      <c r="AK33" s="267">
        <v>0</v>
      </c>
      <c r="AL33" s="266"/>
      <c r="AM33" s="266"/>
      <c r="AN33" s="266"/>
      <c r="AO33" s="266"/>
      <c r="AP33" s="35"/>
      <c r="AQ33" s="35"/>
      <c r="AR33" s="36"/>
      <c r="AS33" s="35"/>
      <c r="AT33" s="35"/>
      <c r="AU33" s="35"/>
      <c r="AV33" s="35"/>
      <c r="AW33" s="35"/>
      <c r="AX33" s="35"/>
      <c r="AY33" s="35"/>
      <c r="AZ33" s="35"/>
      <c r="BE33" s="249"/>
    </row>
    <row r="34" spans="2:57" s="27" customFormat="1" ht="6.95" customHeight="1" x14ac:dyDescent="0.25">
      <c r="B34" s="28"/>
      <c r="AR34" s="28"/>
      <c r="BE34" s="248"/>
    </row>
    <row r="35" spans="2:57" s="27" customFormat="1" ht="25.9" customHeight="1" x14ac:dyDescent="0.25">
      <c r="B35" s="28"/>
      <c r="C35" s="38"/>
      <c r="D35" s="39" t="s">
        <v>64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65</v>
      </c>
      <c r="U35" s="40"/>
      <c r="V35" s="40"/>
      <c r="W35" s="40"/>
      <c r="X35" s="268" t="s">
        <v>66</v>
      </c>
      <c r="Y35" s="269"/>
      <c r="Z35" s="269"/>
      <c r="AA35" s="269"/>
      <c r="AB35" s="269"/>
      <c r="AC35" s="40"/>
      <c r="AD35" s="40"/>
      <c r="AE35" s="40"/>
      <c r="AF35" s="40"/>
      <c r="AG35" s="40"/>
      <c r="AH35" s="40"/>
      <c r="AI35" s="40"/>
      <c r="AJ35" s="40"/>
      <c r="AK35" s="270" t="e">
        <f>SUM(AK26:AK33)</f>
        <v>#REF!</v>
      </c>
      <c r="AL35" s="269"/>
      <c r="AM35" s="269"/>
      <c r="AN35" s="269"/>
      <c r="AO35" s="271"/>
      <c r="AP35" s="38"/>
      <c r="AQ35" s="38"/>
      <c r="AR35" s="28"/>
    </row>
    <row r="36" spans="2:57" s="27" customFormat="1" ht="6.95" customHeight="1" x14ac:dyDescent="0.25">
      <c r="B36" s="28"/>
      <c r="AR36" s="28"/>
    </row>
    <row r="37" spans="2:57" s="27" customFormat="1" ht="14.45" customHeight="1" x14ac:dyDescent="0.25">
      <c r="B37" s="28"/>
      <c r="AR37" s="28"/>
    </row>
    <row r="38" spans="2:57" ht="14.45" customHeight="1" x14ac:dyDescent="0.2">
      <c r="B38" s="16"/>
      <c r="AR38" s="16"/>
    </row>
    <row r="39" spans="2:57" ht="14.45" customHeight="1" x14ac:dyDescent="0.2">
      <c r="B39" s="16"/>
      <c r="AR39" s="16"/>
    </row>
    <row r="40" spans="2:57" ht="14.45" customHeight="1" x14ac:dyDescent="0.2">
      <c r="B40" s="16"/>
      <c r="AR40" s="16"/>
    </row>
    <row r="41" spans="2:57" ht="14.45" customHeight="1" x14ac:dyDescent="0.2">
      <c r="B41" s="16"/>
      <c r="AR41" s="16"/>
    </row>
    <row r="42" spans="2:57" ht="14.45" customHeight="1" x14ac:dyDescent="0.2">
      <c r="B42" s="16"/>
      <c r="AR42" s="16"/>
    </row>
    <row r="43" spans="2:57" ht="14.45" customHeight="1" x14ac:dyDescent="0.2">
      <c r="B43" s="16"/>
      <c r="AR43" s="16"/>
    </row>
    <row r="44" spans="2:57" ht="14.45" customHeight="1" x14ac:dyDescent="0.2">
      <c r="B44" s="16"/>
      <c r="AR44" s="16"/>
    </row>
    <row r="45" spans="2:57" ht="14.45" customHeight="1" x14ac:dyDescent="0.2">
      <c r="B45" s="16"/>
      <c r="AR45" s="16"/>
    </row>
    <row r="46" spans="2:57" ht="14.45" customHeight="1" x14ac:dyDescent="0.2">
      <c r="B46" s="16"/>
      <c r="AR46" s="16"/>
    </row>
    <row r="47" spans="2:57" ht="14.45" customHeight="1" x14ac:dyDescent="0.2">
      <c r="B47" s="16"/>
      <c r="AR47" s="16"/>
    </row>
    <row r="48" spans="2:57" ht="14.45" customHeight="1" x14ac:dyDescent="0.2">
      <c r="B48" s="16"/>
      <c r="AR48" s="16"/>
    </row>
    <row r="49" spans="2:44" s="27" customFormat="1" ht="14.45" customHeight="1" x14ac:dyDescent="0.25">
      <c r="B49" s="28"/>
      <c r="D49" s="42" t="s">
        <v>67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68</v>
      </c>
      <c r="AI49" s="43"/>
      <c r="AJ49" s="43"/>
      <c r="AK49" s="43"/>
      <c r="AL49" s="43"/>
      <c r="AM49" s="43"/>
      <c r="AN49" s="43"/>
      <c r="AO49" s="43"/>
      <c r="AR49" s="28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27" customFormat="1" ht="12.75" x14ac:dyDescent="0.25">
      <c r="B60" s="28"/>
      <c r="D60" s="44" t="s">
        <v>69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4" t="s">
        <v>70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4" t="s">
        <v>69</v>
      </c>
      <c r="AI60" s="30"/>
      <c r="AJ60" s="30"/>
      <c r="AK60" s="30"/>
      <c r="AL60" s="30"/>
      <c r="AM60" s="44" t="s">
        <v>70</v>
      </c>
      <c r="AN60" s="30"/>
      <c r="AO60" s="30"/>
      <c r="AR60" s="28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27" customFormat="1" ht="12.75" x14ac:dyDescent="0.25">
      <c r="B64" s="28"/>
      <c r="D64" s="42" t="s">
        <v>71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72</v>
      </c>
      <c r="AI64" s="43"/>
      <c r="AJ64" s="43"/>
      <c r="AK64" s="43"/>
      <c r="AL64" s="43"/>
      <c r="AM64" s="43"/>
      <c r="AN64" s="43"/>
      <c r="AO64" s="43"/>
      <c r="AR64" s="28"/>
    </row>
    <row r="65" spans="2:57" x14ac:dyDescent="0.2">
      <c r="B65" s="16"/>
      <c r="AR65" s="16"/>
    </row>
    <row r="66" spans="2:57" x14ac:dyDescent="0.2">
      <c r="B66" s="16"/>
      <c r="AR66" s="16"/>
    </row>
    <row r="67" spans="2:57" x14ac:dyDescent="0.2">
      <c r="B67" s="16"/>
      <c r="AR67" s="16"/>
    </row>
    <row r="68" spans="2:57" x14ac:dyDescent="0.2">
      <c r="B68" s="16"/>
      <c r="AR68" s="16"/>
    </row>
    <row r="69" spans="2:57" x14ac:dyDescent="0.2">
      <c r="B69" s="16"/>
      <c r="AR69" s="16"/>
    </row>
    <row r="70" spans="2:57" x14ac:dyDescent="0.2">
      <c r="B70" s="16"/>
      <c r="AR70" s="16"/>
    </row>
    <row r="71" spans="2:57" x14ac:dyDescent="0.2">
      <c r="B71" s="16"/>
      <c r="AR71" s="16"/>
    </row>
    <row r="72" spans="2:57" x14ac:dyDescent="0.2">
      <c r="B72" s="16"/>
      <c r="AR72" s="16"/>
    </row>
    <row r="73" spans="2:57" x14ac:dyDescent="0.2">
      <c r="B73" s="16"/>
      <c r="AR73" s="16"/>
    </row>
    <row r="74" spans="2:57" x14ac:dyDescent="0.2">
      <c r="B74" s="16"/>
      <c r="AR74" s="16"/>
    </row>
    <row r="75" spans="2:57" s="27" customFormat="1" ht="12.75" x14ac:dyDescent="0.25">
      <c r="B75" s="28"/>
      <c r="D75" s="44" t="s">
        <v>69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4" t="s">
        <v>70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4" t="s">
        <v>69</v>
      </c>
      <c r="AI75" s="30"/>
      <c r="AJ75" s="30"/>
      <c r="AK75" s="30"/>
      <c r="AL75" s="30"/>
      <c r="AM75" s="44" t="s">
        <v>70</v>
      </c>
      <c r="AN75" s="30"/>
      <c r="AO75" s="30"/>
      <c r="AR75" s="28"/>
    </row>
    <row r="76" spans="2:57" s="27" customFormat="1" x14ac:dyDescent="0.25">
      <c r="B76" s="28"/>
      <c r="AR76" s="28"/>
    </row>
    <row r="77" spans="2:57" s="27" customFormat="1" ht="6.95" customHeight="1" x14ac:dyDescent="0.25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28"/>
    </row>
    <row r="79" spans="2:57" ht="54.75" customHeight="1" x14ac:dyDescent="0.55000000000000004">
      <c r="AI79" s="202" t="s">
        <v>370</v>
      </c>
      <c r="BE79" s="203" t="s">
        <v>371</v>
      </c>
    </row>
    <row r="81" spans="2:91" s="27" customFormat="1" ht="6.95" customHeight="1" x14ac:dyDescent="0.25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28"/>
    </row>
    <row r="82" spans="2:91" s="27" customFormat="1" ht="24.95" customHeight="1" x14ac:dyDescent="0.25">
      <c r="B82" s="28"/>
      <c r="C82" s="17" t="s">
        <v>33</v>
      </c>
      <c r="AR82" s="28"/>
    </row>
    <row r="83" spans="2:91" s="27" customFormat="1" ht="6.95" customHeight="1" x14ac:dyDescent="0.25">
      <c r="B83" s="28"/>
      <c r="AR83" s="28"/>
    </row>
    <row r="84" spans="2:91" s="49" customFormat="1" ht="12" customHeight="1" x14ac:dyDescent="0.25">
      <c r="B84" s="50"/>
      <c r="C84" s="23" t="s">
        <v>37</v>
      </c>
      <c r="L84" s="49" t="str">
        <f>K5</f>
        <v>22/008</v>
      </c>
      <c r="AR84" s="50"/>
    </row>
    <row r="85" spans="2:91" s="51" customFormat="1" ht="36.950000000000003" customHeight="1" x14ac:dyDescent="0.25">
      <c r="B85" s="52"/>
      <c r="C85" s="53" t="s">
        <v>39</v>
      </c>
      <c r="L85" s="260" t="str">
        <f>K6</f>
        <v>Rekonstrukce, rozšíření ČSOV Černý Vůl v obci Statenice</v>
      </c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R85" s="52"/>
    </row>
    <row r="86" spans="2:91" s="27" customFormat="1" ht="6.95" customHeight="1" x14ac:dyDescent="0.25">
      <c r="B86" s="28"/>
      <c r="AR86" s="28"/>
    </row>
    <row r="87" spans="2:91" s="27" customFormat="1" ht="12" customHeight="1" x14ac:dyDescent="0.25">
      <c r="B87" s="28"/>
      <c r="C87" s="23" t="s">
        <v>42</v>
      </c>
      <c r="L87" s="54" t="str">
        <f>IF(K8="","",K8)</f>
        <v>Statenice</v>
      </c>
      <c r="AI87" s="23" t="s">
        <v>43</v>
      </c>
      <c r="AM87" s="272">
        <f>IF(AN8= "","",AN8)</f>
        <v>44795</v>
      </c>
      <c r="AN87" s="272"/>
      <c r="AR87" s="28"/>
    </row>
    <row r="88" spans="2:91" s="27" customFormat="1" ht="6.95" customHeight="1" x14ac:dyDescent="0.25">
      <c r="B88" s="28"/>
      <c r="AR88" s="28"/>
    </row>
    <row r="89" spans="2:91" s="27" customFormat="1" ht="15.2" customHeight="1" x14ac:dyDescent="0.25">
      <c r="B89" s="28"/>
      <c r="C89" s="23" t="s">
        <v>73</v>
      </c>
      <c r="L89" s="49" t="str">
        <f>IF(E11= "","",E11)</f>
        <v>Obec Statenice</v>
      </c>
      <c r="AI89" s="23" t="s">
        <v>48</v>
      </c>
      <c r="AM89" s="273" t="str">
        <f>IF(E17="","",E17)</f>
        <v xml:space="preserve"> Ing. Ľubomír Charvát</v>
      </c>
      <c r="AN89" s="274"/>
      <c r="AO89" s="274"/>
      <c r="AP89" s="274"/>
      <c r="AR89" s="28"/>
      <c r="AS89" s="275" t="s">
        <v>74</v>
      </c>
      <c r="AT89" s="276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2:91" s="27" customFormat="1" ht="15.2" customHeight="1" x14ac:dyDescent="0.25">
      <c r="B90" s="28"/>
      <c r="C90" s="23" t="s">
        <v>47</v>
      </c>
      <c r="L90" s="49">
        <f>IF(E14= "Vyplň údaj","",E14)</f>
        <v>0</v>
      </c>
      <c r="AI90" s="23" t="s">
        <v>51</v>
      </c>
      <c r="AM90" s="273" t="str">
        <f>IF(E20="","",E20)</f>
        <v xml:space="preserve"> </v>
      </c>
      <c r="AN90" s="274"/>
      <c r="AO90" s="274"/>
      <c r="AP90" s="274"/>
      <c r="AR90" s="28"/>
      <c r="AS90" s="277"/>
      <c r="AT90" s="278"/>
      <c r="BD90" s="57"/>
    </row>
    <row r="91" spans="2:91" s="27" customFormat="1" ht="10.9" customHeight="1" x14ac:dyDescent="0.25">
      <c r="B91" s="28"/>
      <c r="AR91" s="28"/>
      <c r="AS91" s="277"/>
      <c r="AT91" s="278"/>
      <c r="BD91" s="57"/>
    </row>
    <row r="92" spans="2:91" s="27" customFormat="1" ht="29.25" customHeight="1" x14ac:dyDescent="0.25">
      <c r="B92" s="28"/>
      <c r="C92" s="279" t="s">
        <v>75</v>
      </c>
      <c r="D92" s="280"/>
      <c r="E92" s="280"/>
      <c r="F92" s="280"/>
      <c r="G92" s="280"/>
      <c r="H92" s="58"/>
      <c r="I92" s="281" t="s">
        <v>76</v>
      </c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2" t="s">
        <v>77</v>
      </c>
      <c r="AH92" s="280"/>
      <c r="AI92" s="280"/>
      <c r="AJ92" s="280"/>
      <c r="AK92" s="280"/>
      <c r="AL92" s="280"/>
      <c r="AM92" s="280"/>
      <c r="AN92" s="281" t="s">
        <v>78</v>
      </c>
      <c r="AO92" s="280"/>
      <c r="AP92" s="283"/>
      <c r="AQ92" s="59" t="s">
        <v>79</v>
      </c>
      <c r="AR92" s="28"/>
      <c r="AS92" s="60" t="s">
        <v>80</v>
      </c>
      <c r="AT92" s="61" t="s">
        <v>81</v>
      </c>
      <c r="AU92" s="61" t="s">
        <v>82</v>
      </c>
      <c r="AV92" s="61" t="s">
        <v>83</v>
      </c>
      <c r="AW92" s="61" t="s">
        <v>84</v>
      </c>
      <c r="AX92" s="61" t="s">
        <v>85</v>
      </c>
      <c r="AY92" s="61" t="s">
        <v>86</v>
      </c>
      <c r="AZ92" s="61" t="s">
        <v>87</v>
      </c>
      <c r="BA92" s="61" t="s">
        <v>88</v>
      </c>
      <c r="BB92" s="61" t="s">
        <v>89</v>
      </c>
      <c r="BC92" s="61" t="s">
        <v>90</v>
      </c>
      <c r="BD92" s="62" t="s">
        <v>91</v>
      </c>
    </row>
    <row r="93" spans="2:91" s="27" customFormat="1" ht="10.9" customHeight="1" x14ac:dyDescent="0.25">
      <c r="B93" s="28"/>
      <c r="AR93" s="28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2:91" s="64" customFormat="1" ht="32.450000000000003" customHeight="1" x14ac:dyDescent="0.25">
      <c r="B94" s="65"/>
      <c r="C94" s="66" t="s">
        <v>92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84">
        <f>ROUND(AG95+AG96++AG97+AG98,2)</f>
        <v>12254648.41</v>
      </c>
      <c r="AH94" s="284"/>
      <c r="AI94" s="284"/>
      <c r="AJ94" s="284"/>
      <c r="AK94" s="284"/>
      <c r="AL94" s="284"/>
      <c r="AM94" s="284"/>
      <c r="AN94" s="285">
        <f>AG94*1.21</f>
        <v>14828124.576099999</v>
      </c>
      <c r="AO94" s="285"/>
      <c r="AP94" s="285"/>
      <c r="AQ94" s="68" t="s">
        <v>26</v>
      </c>
      <c r="AR94" s="65"/>
      <c r="AS94" s="69" t="e">
        <f>ROUND(#REF!+AS96+#REF!+#REF!,2)</f>
        <v>#REF!</v>
      </c>
      <c r="AT94" s="70" t="e">
        <f t="shared" ref="AT94:AT98" si="0">ROUND(SUM(AV94:AW94),2)</f>
        <v>#REF!</v>
      </c>
      <c r="AU94" s="71" t="e">
        <f>ROUND(#REF!+AU96+#REF!+#REF!,5)</f>
        <v>#REF!</v>
      </c>
      <c r="AV94" s="70" t="e">
        <f>ROUND(AZ94*L29,2)</f>
        <v>#REF!</v>
      </c>
      <c r="AW94" s="70" t="e">
        <f>ROUND(BA94*L30,2)</f>
        <v>#REF!</v>
      </c>
      <c r="AX94" s="70" t="e">
        <f>ROUND(BB94*L29,2)</f>
        <v>#REF!</v>
      </c>
      <c r="AY94" s="70" t="e">
        <f>ROUND(BC94*L30,2)</f>
        <v>#REF!</v>
      </c>
      <c r="AZ94" s="70" t="e">
        <f>ROUND(#REF!+AZ96+#REF!+#REF!,2)</f>
        <v>#REF!</v>
      </c>
      <c r="BA94" s="70" t="e">
        <f>ROUND(#REF!+BA96+#REF!+#REF!,2)</f>
        <v>#REF!</v>
      </c>
      <c r="BB94" s="70" t="e">
        <f>ROUND(#REF!+BB96+#REF!+#REF!,2)</f>
        <v>#REF!</v>
      </c>
      <c r="BC94" s="70" t="e">
        <f>ROUND(#REF!+BC96+#REF!+#REF!,2)</f>
        <v>#REF!</v>
      </c>
      <c r="BD94" s="72" t="e">
        <f>ROUND(#REF!+BD96+#REF!+#REF!,2)</f>
        <v>#REF!</v>
      </c>
      <c r="BE94" s="201">
        <f>SUM(BE95:BE98)</f>
        <v>9489869.8500000015</v>
      </c>
      <c r="BS94" s="73"/>
      <c r="BT94" s="73"/>
      <c r="BU94" s="74"/>
      <c r="BV94" s="73"/>
      <c r="BW94" s="73"/>
      <c r="BX94" s="73"/>
      <c r="CL94" s="73" t="s">
        <v>26</v>
      </c>
    </row>
    <row r="95" spans="2:91" s="64" customFormat="1" ht="22.5" customHeight="1" x14ac:dyDescent="0.25">
      <c r="B95" s="65"/>
      <c r="C95" s="75"/>
      <c r="D95" s="286">
        <v>1</v>
      </c>
      <c r="E95" s="286"/>
      <c r="F95" s="286"/>
      <c r="G95" s="286"/>
      <c r="H95" s="286"/>
      <c r="I95" s="76"/>
      <c r="J95" s="286" t="s">
        <v>102</v>
      </c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  <c r="AA95" s="286"/>
      <c r="AB95" s="286"/>
      <c r="AC95" s="286"/>
      <c r="AD95" s="286"/>
      <c r="AE95" s="286"/>
      <c r="AF95" s="286"/>
      <c r="AG95" s="287">
        <f>'SO 01'!G46</f>
        <v>6801228.6389300004</v>
      </c>
      <c r="AH95" s="288"/>
      <c r="AI95" s="288"/>
      <c r="AJ95" s="288"/>
      <c r="AK95" s="288"/>
      <c r="AL95" s="288"/>
      <c r="AM95" s="288"/>
      <c r="AN95" s="289">
        <f>AG95*1.21</f>
        <v>8229486.6531052999</v>
      </c>
      <c r="AO95" s="288"/>
      <c r="AP95" s="288"/>
      <c r="AQ95" s="68"/>
      <c r="AR95" s="65"/>
      <c r="AS95" s="69"/>
      <c r="AT95" s="70"/>
      <c r="AU95" s="71"/>
      <c r="AV95" s="70"/>
      <c r="AW95" s="70"/>
      <c r="AX95" s="70"/>
      <c r="AY95" s="70"/>
      <c r="AZ95" s="70"/>
      <c r="BA95" s="70"/>
      <c r="BB95" s="70"/>
      <c r="BC95" s="70"/>
      <c r="BD95" s="72"/>
      <c r="BE95" s="145">
        <v>4970021.87</v>
      </c>
      <c r="BS95" s="73"/>
      <c r="BT95" s="73"/>
      <c r="BU95" s="74"/>
      <c r="BV95" s="73"/>
      <c r="BW95" s="73"/>
      <c r="BX95" s="73"/>
      <c r="CL95" s="73"/>
    </row>
    <row r="96" spans="2:91" s="77" customFormat="1" ht="17.25" customHeight="1" x14ac:dyDescent="0.25">
      <c r="B96" s="78"/>
      <c r="C96" s="75"/>
      <c r="D96" s="286">
        <v>1</v>
      </c>
      <c r="E96" s="286"/>
      <c r="F96" s="286"/>
      <c r="G96" s="286"/>
      <c r="H96" s="286"/>
      <c r="I96" s="76"/>
      <c r="J96" s="286" t="s">
        <v>103</v>
      </c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86"/>
      <c r="Z96" s="286"/>
      <c r="AA96" s="286"/>
      <c r="AB96" s="286"/>
      <c r="AC96" s="286"/>
      <c r="AD96" s="286"/>
      <c r="AE96" s="286"/>
      <c r="AF96" s="286"/>
      <c r="AG96" s="287">
        <f>'SO 02'!G36</f>
        <v>1089762.7271599998</v>
      </c>
      <c r="AH96" s="288"/>
      <c r="AI96" s="288"/>
      <c r="AJ96" s="288"/>
      <c r="AK96" s="288"/>
      <c r="AL96" s="288"/>
      <c r="AM96" s="288"/>
      <c r="AN96" s="289">
        <f>AG96*1.21</f>
        <v>1318612.8998635998</v>
      </c>
      <c r="AO96" s="288"/>
      <c r="AP96" s="288"/>
      <c r="AQ96" s="79" t="s">
        <v>94</v>
      </c>
      <c r="AR96" s="78"/>
      <c r="AS96" s="80">
        <f>ROUND(SUM(AS98:AS98),2)</f>
        <v>0</v>
      </c>
      <c r="AT96" s="81" t="e">
        <f t="shared" si="0"/>
        <v>#REF!</v>
      </c>
      <c r="AU96" s="82" t="e">
        <f>ROUND(SUM(AU98:AU98),5)</f>
        <v>#REF!</v>
      </c>
      <c r="AV96" s="81" t="e">
        <f>ROUND(AZ96*L29,2)</f>
        <v>#REF!</v>
      </c>
      <c r="AW96" s="81" t="e">
        <f>ROUND(BA96*L30,2)</f>
        <v>#REF!</v>
      </c>
      <c r="AX96" s="81" t="e">
        <f>ROUND(BB96*L29,2)</f>
        <v>#REF!</v>
      </c>
      <c r="AY96" s="81" t="e">
        <f>ROUND(BC96*L30,2)</f>
        <v>#REF!</v>
      </c>
      <c r="AZ96" s="81" t="e">
        <f>ROUND(SUM(AZ98:AZ98),2)</f>
        <v>#REF!</v>
      </c>
      <c r="BA96" s="81" t="e">
        <f>ROUND(SUM(BA98:BA98),2)</f>
        <v>#REF!</v>
      </c>
      <c r="BB96" s="81" t="e">
        <f>ROUND(SUM(BB98:BB98),2)</f>
        <v>#REF!</v>
      </c>
      <c r="BC96" s="81" t="e">
        <f>ROUND(SUM(BC98:BC98),2)</f>
        <v>#REF!</v>
      </c>
      <c r="BD96" s="83" t="e">
        <f>ROUND(SUM(BD98:BD98),2)</f>
        <v>#REF!</v>
      </c>
      <c r="BE96" s="145">
        <v>781626.17</v>
      </c>
      <c r="BS96" s="84"/>
      <c r="BT96" s="84"/>
      <c r="BU96" s="84"/>
      <c r="BV96" s="84"/>
      <c r="BW96" s="84"/>
      <c r="BX96" s="84"/>
      <c r="CL96" s="84" t="s">
        <v>26</v>
      </c>
      <c r="CM96" s="84" t="s">
        <v>93</v>
      </c>
    </row>
    <row r="97" spans="1:91" s="77" customFormat="1" ht="24.75" customHeight="1" x14ac:dyDescent="0.25">
      <c r="B97" s="78"/>
      <c r="C97" s="75"/>
      <c r="D97" s="286">
        <v>1</v>
      </c>
      <c r="E97" s="286"/>
      <c r="F97" s="286"/>
      <c r="G97" s="286"/>
      <c r="H97" s="286"/>
      <c r="I97" s="76"/>
      <c r="J97" s="286" t="s">
        <v>104</v>
      </c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  <c r="X97" s="286"/>
      <c r="Y97" s="286"/>
      <c r="Z97" s="286"/>
      <c r="AA97" s="286"/>
      <c r="AB97" s="286"/>
      <c r="AC97" s="286"/>
      <c r="AD97" s="286"/>
      <c r="AE97" s="286"/>
      <c r="AF97" s="286"/>
      <c r="AG97" s="287">
        <f>'PS 01'!G45</f>
        <v>3724968.9639247325</v>
      </c>
      <c r="AH97" s="288"/>
      <c r="AI97" s="288"/>
      <c r="AJ97" s="288"/>
      <c r="AK97" s="288"/>
      <c r="AL97" s="288"/>
      <c r="AM97" s="288"/>
      <c r="AN97" s="289">
        <f>AG97*1.21</f>
        <v>4507212.4463489261</v>
      </c>
      <c r="AO97" s="288"/>
      <c r="AP97" s="288"/>
      <c r="AQ97" s="79"/>
      <c r="AR97" s="78"/>
      <c r="AS97" s="80"/>
      <c r="AT97" s="81"/>
      <c r="AU97" s="82"/>
      <c r="AV97" s="81"/>
      <c r="AW97" s="81"/>
      <c r="AX97" s="81"/>
      <c r="AY97" s="81"/>
      <c r="AZ97" s="81"/>
      <c r="BA97" s="81"/>
      <c r="BB97" s="81"/>
      <c r="BC97" s="81"/>
      <c r="BD97" s="83"/>
      <c r="BE97" s="145">
        <v>3128296.68</v>
      </c>
      <c r="BS97" s="84"/>
      <c r="BT97" s="84"/>
      <c r="BU97" s="84"/>
      <c r="BV97" s="84"/>
      <c r="BW97" s="84"/>
      <c r="BX97" s="84"/>
      <c r="CL97" s="84"/>
      <c r="CM97" s="84"/>
    </row>
    <row r="98" spans="1:91" s="49" customFormat="1" ht="16.5" customHeight="1" x14ac:dyDescent="0.25">
      <c r="A98" s="85" t="s">
        <v>95</v>
      </c>
      <c r="B98" s="50"/>
      <c r="C98" s="86"/>
      <c r="D98" s="286">
        <v>1</v>
      </c>
      <c r="E98" s="286"/>
      <c r="F98" s="286"/>
      <c r="G98" s="286"/>
      <c r="H98" s="286"/>
      <c r="I98" s="76"/>
      <c r="J98" s="286" t="s">
        <v>96</v>
      </c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286"/>
      <c r="Z98" s="286"/>
      <c r="AA98" s="286"/>
      <c r="AB98" s="286"/>
      <c r="AC98" s="286"/>
      <c r="AD98" s="286"/>
      <c r="AE98" s="286"/>
      <c r="AF98" s="286"/>
      <c r="AG98" s="287">
        <f>'PS 02'!J96</f>
        <v>638688.08367999992</v>
      </c>
      <c r="AH98" s="288"/>
      <c r="AI98" s="288"/>
      <c r="AJ98" s="288"/>
      <c r="AK98" s="288"/>
      <c r="AL98" s="288"/>
      <c r="AM98" s="288"/>
      <c r="AN98" s="289">
        <f>AG98*1.21</f>
        <v>772812.58125279984</v>
      </c>
      <c r="AO98" s="288"/>
      <c r="AP98" s="288"/>
      <c r="AQ98" s="87" t="s">
        <v>97</v>
      </c>
      <c r="AR98" s="50"/>
      <c r="AS98" s="88">
        <v>0</v>
      </c>
      <c r="AT98" s="89" t="e">
        <f t="shared" si="0"/>
        <v>#REF!</v>
      </c>
      <c r="AU98" s="90" t="e">
        <f>'[1]D2.1_Technologie KS'!P130</f>
        <v>#REF!</v>
      </c>
      <c r="AV98" s="89" t="e">
        <f>'[1]D2.1_Technologie KS'!J37</f>
        <v>#REF!</v>
      </c>
      <c r="AW98" s="89" t="e">
        <f>'[1]D2.1_Technologie KS'!J38</f>
        <v>#REF!</v>
      </c>
      <c r="AX98" s="89">
        <f>'[1]D2.1_Technologie KS'!J39</f>
        <v>0</v>
      </c>
      <c r="AY98" s="89">
        <f>'[1]D2.1_Technologie KS'!J40</f>
        <v>0</v>
      </c>
      <c r="AZ98" s="89" t="e">
        <f>'[1]D2.1_Technologie KS'!F37</f>
        <v>#REF!</v>
      </c>
      <c r="BA98" s="89" t="e">
        <f>'[1]D2.1_Technologie KS'!F38</f>
        <v>#REF!</v>
      </c>
      <c r="BB98" s="89" t="e">
        <f>'[1]D2.1_Technologie KS'!F39</f>
        <v>#REF!</v>
      </c>
      <c r="BC98" s="89" t="e">
        <f>'[1]D2.1_Technologie KS'!F40</f>
        <v>#REF!</v>
      </c>
      <c r="BD98" s="91" t="e">
        <f>'[1]D2.1_Technologie KS'!F41</f>
        <v>#REF!</v>
      </c>
      <c r="BE98" s="145">
        <v>609925.13</v>
      </c>
      <c r="BT98" s="21"/>
      <c r="BV98" s="21"/>
      <c r="BW98" s="21"/>
      <c r="BX98" s="21"/>
      <c r="CL98" s="21" t="s">
        <v>26</v>
      </c>
    </row>
    <row r="99" spans="1:91" s="27" customFormat="1" ht="30" customHeight="1" x14ac:dyDescent="0.25">
      <c r="B99" s="28"/>
      <c r="AR99" s="28"/>
    </row>
    <row r="100" spans="1:91" s="27" customFormat="1" ht="6.95" customHeight="1" x14ac:dyDescent="0.25"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28"/>
    </row>
  </sheetData>
  <mergeCells count="54">
    <mergeCell ref="D98:H98"/>
    <mergeCell ref="J98:AF98"/>
    <mergeCell ref="AG98:AM98"/>
    <mergeCell ref="AN98:AP98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</mergeCells>
  <hyperlinks>
    <hyperlink ref="A98" location="'as - Stavebné riešenie_01'!C2" display="/" xr:uid="{019FD26C-0A3A-4E51-84F2-D923EB65DE25}"/>
  </hyperlinks>
  <pageMargins left="0.39374999999999999" right="0.39374999999999999" top="0.39374999999999999" bottom="0.39374999999999999" header="0" footer="0"/>
  <pageSetup paperSize="9" scale="72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4B41-59B6-417B-B7BB-B2D4D92BBAB5}">
  <sheetPr>
    <pageSetUpPr fitToPage="1"/>
  </sheetPr>
  <dimension ref="A1:O47"/>
  <sheetViews>
    <sheetView topLeftCell="A14" zoomScale="54" zoomScaleNormal="54" workbookViewId="0">
      <selection activeCell="B23" sqref="B23"/>
    </sheetView>
  </sheetViews>
  <sheetFormatPr defaultColWidth="11" defaultRowHeight="15.75" x14ac:dyDescent="0.25"/>
  <cols>
    <col min="1" max="1" width="5.375" customWidth="1"/>
    <col min="2" max="2" width="42.625" customWidth="1"/>
    <col min="3" max="3" width="19" customWidth="1"/>
    <col min="4" max="4" width="4.625" customWidth="1"/>
    <col min="5" max="5" width="8.375" customWidth="1"/>
    <col min="6" max="6" width="14.5" customWidth="1"/>
    <col min="7" max="7" width="20.5" customWidth="1"/>
    <col min="10" max="10" width="60.625" customWidth="1"/>
    <col min="11" max="11" width="20.125" customWidth="1"/>
    <col min="14" max="14" width="14.75" customWidth="1"/>
    <col min="15" max="15" width="18" customWidth="1"/>
  </cols>
  <sheetData>
    <row r="1" spans="1:15" ht="63" customHeight="1" x14ac:dyDescent="0.7">
      <c r="B1" s="10" t="s">
        <v>21</v>
      </c>
      <c r="C1" s="197" t="s">
        <v>370</v>
      </c>
      <c r="J1" s="10" t="s">
        <v>21</v>
      </c>
      <c r="K1" s="197" t="s">
        <v>371</v>
      </c>
    </row>
    <row r="2" spans="1:15" ht="16.5" thickBot="1" x14ac:dyDescent="0.3">
      <c r="B2" s="1" t="s">
        <v>22</v>
      </c>
      <c r="C2" s="1"/>
      <c r="J2" s="10" t="s">
        <v>22</v>
      </c>
      <c r="K2" s="10"/>
    </row>
    <row r="3" spans="1:15" ht="16.5" thickBot="1" x14ac:dyDescent="0.3">
      <c r="A3" s="6" t="s">
        <v>0</v>
      </c>
      <c r="B3" s="6" t="s">
        <v>3</v>
      </c>
      <c r="C3" s="6" t="s">
        <v>13</v>
      </c>
      <c r="D3" s="6" t="s">
        <v>1</v>
      </c>
      <c r="E3" s="6" t="s">
        <v>2</v>
      </c>
      <c r="F3" s="6" t="s">
        <v>4</v>
      </c>
      <c r="G3" s="6" t="s">
        <v>5</v>
      </c>
      <c r="I3" s="194" t="s">
        <v>0</v>
      </c>
      <c r="J3" s="194" t="s">
        <v>3</v>
      </c>
      <c r="K3" s="194" t="s">
        <v>13</v>
      </c>
      <c r="L3" s="194" t="s">
        <v>1</v>
      </c>
      <c r="M3" s="194" t="s">
        <v>2</v>
      </c>
      <c r="N3" s="194" t="s">
        <v>4</v>
      </c>
      <c r="O3" s="194" t="s">
        <v>5</v>
      </c>
    </row>
    <row r="4" spans="1:15" ht="94.5" x14ac:dyDescent="0.25">
      <c r="A4" s="123">
        <v>1</v>
      </c>
      <c r="B4" s="146" t="s">
        <v>409</v>
      </c>
      <c r="C4" s="147" t="s">
        <v>292</v>
      </c>
      <c r="D4" s="148" t="s">
        <v>9</v>
      </c>
      <c r="E4" s="148">
        <f>40*9</f>
        <v>360</v>
      </c>
      <c r="F4" s="149">
        <v>4199</v>
      </c>
      <c r="G4" s="100">
        <f>E4*F4</f>
        <v>1511640</v>
      </c>
      <c r="I4" s="123">
        <v>1</v>
      </c>
      <c r="J4" s="146" t="s">
        <v>347</v>
      </c>
      <c r="K4" s="204" t="s">
        <v>348</v>
      </c>
      <c r="L4" s="205" t="s">
        <v>9</v>
      </c>
      <c r="M4" s="205">
        <v>306</v>
      </c>
      <c r="N4" s="149">
        <v>3800.53</v>
      </c>
      <c r="O4" s="166">
        <f>M4*N4</f>
        <v>1162962.1800000002</v>
      </c>
    </row>
    <row r="5" spans="1:15" ht="63" x14ac:dyDescent="0.25">
      <c r="A5" s="128">
        <v>2</v>
      </c>
      <c r="B5" s="150" t="s">
        <v>301</v>
      </c>
      <c r="C5" s="151" t="s">
        <v>302</v>
      </c>
      <c r="D5" s="152" t="s">
        <v>6</v>
      </c>
      <c r="E5" s="153">
        <f>(((10.2*4.8*5.8)+(3.1*3.1*4)+(22*2.7)+(2.1*2.1*1.1))+(0.6*1.4*21))-54</f>
        <v>350.29899999999998</v>
      </c>
      <c r="F5" s="149">
        <v>806.17</v>
      </c>
      <c r="G5" s="100">
        <f t="shared" ref="G5:G45" si="0">F5*E5</f>
        <v>282400.54482999997</v>
      </c>
      <c r="I5" s="128">
        <v>2</v>
      </c>
      <c r="J5" s="150" t="s">
        <v>349</v>
      </c>
      <c r="K5" s="158" t="s">
        <v>350</v>
      </c>
      <c r="L5" s="157" t="s">
        <v>6</v>
      </c>
      <c r="M5" s="157">
        <v>250</v>
      </c>
      <c r="N5" s="149">
        <v>806.17</v>
      </c>
      <c r="O5" s="166">
        <f t="shared" ref="O5:O14" si="1">N5*M5</f>
        <v>201542.5</v>
      </c>
    </row>
    <row r="6" spans="1:15" x14ac:dyDescent="0.25">
      <c r="A6" s="123">
        <v>3</v>
      </c>
      <c r="B6" s="150" t="s">
        <v>160</v>
      </c>
      <c r="C6" s="151" t="s">
        <v>293</v>
      </c>
      <c r="D6" s="152" t="s">
        <v>6</v>
      </c>
      <c r="E6" s="152">
        <f>77*0.7</f>
        <v>53.9</v>
      </c>
      <c r="F6" s="149">
        <v>806.17</v>
      </c>
      <c r="G6" s="100">
        <f t="shared" ref="G6" si="2">F6*E6</f>
        <v>43452.562999999995</v>
      </c>
      <c r="I6" s="123">
        <v>3</v>
      </c>
      <c r="J6" s="150" t="s">
        <v>160</v>
      </c>
      <c r="K6" s="158" t="s">
        <v>351</v>
      </c>
      <c r="L6" s="157" t="s">
        <v>6</v>
      </c>
      <c r="M6" s="157">
        <v>27.6</v>
      </c>
      <c r="N6" s="149">
        <v>806.17</v>
      </c>
      <c r="O6" s="166">
        <f t="shared" si="1"/>
        <v>22250.292000000001</v>
      </c>
    </row>
    <row r="7" spans="1:15" x14ac:dyDescent="0.25">
      <c r="A7" s="128">
        <v>4</v>
      </c>
      <c r="B7" s="154" t="s">
        <v>151</v>
      </c>
      <c r="C7" s="155" t="s">
        <v>303</v>
      </c>
      <c r="D7" s="152" t="s">
        <v>9</v>
      </c>
      <c r="E7" s="152">
        <f>77*1.2</f>
        <v>92.399999999999991</v>
      </c>
      <c r="F7" s="149">
        <v>69.099999999999994</v>
      </c>
      <c r="G7" s="100">
        <f t="shared" si="0"/>
        <v>6384.8399999999992</v>
      </c>
      <c r="I7" s="128">
        <v>4</v>
      </c>
      <c r="J7" s="154" t="s">
        <v>151</v>
      </c>
      <c r="K7" s="154" t="s">
        <v>352</v>
      </c>
      <c r="L7" s="157" t="s">
        <v>9</v>
      </c>
      <c r="M7" s="157">
        <v>77</v>
      </c>
      <c r="N7" s="149">
        <v>69.099999999999994</v>
      </c>
      <c r="O7" s="166">
        <f t="shared" si="1"/>
        <v>5320.7</v>
      </c>
    </row>
    <row r="8" spans="1:15" ht="31.5" x14ac:dyDescent="0.25">
      <c r="A8" s="123">
        <v>5</v>
      </c>
      <c r="B8" s="156" t="s">
        <v>152</v>
      </c>
      <c r="C8" s="151" t="s">
        <v>306</v>
      </c>
      <c r="D8" s="152" t="s">
        <v>6</v>
      </c>
      <c r="E8" s="153">
        <f>((42+22+9+4.5)*1.2)*0.3</f>
        <v>27.9</v>
      </c>
      <c r="F8" s="149">
        <v>1497.18</v>
      </c>
      <c r="G8" s="100">
        <f t="shared" si="0"/>
        <v>41771.322</v>
      </c>
      <c r="I8" s="123">
        <v>5</v>
      </c>
      <c r="J8" s="154" t="s">
        <v>152</v>
      </c>
      <c r="K8" s="154" t="s">
        <v>353</v>
      </c>
      <c r="L8" s="157" t="s">
        <v>6</v>
      </c>
      <c r="M8" s="157">
        <v>19.2</v>
      </c>
      <c r="N8" s="149">
        <v>1497.18</v>
      </c>
      <c r="O8" s="166">
        <f t="shared" si="1"/>
        <v>28745.856</v>
      </c>
    </row>
    <row r="9" spans="1:15" ht="31.5" x14ac:dyDescent="0.25">
      <c r="A9" s="128">
        <v>6</v>
      </c>
      <c r="B9" s="157" t="s">
        <v>153</v>
      </c>
      <c r="C9" s="155" t="s">
        <v>304</v>
      </c>
      <c r="D9" s="152" t="s">
        <v>6</v>
      </c>
      <c r="E9" s="153">
        <f>(42+22+9+4.5)*0.15</f>
        <v>11.625</v>
      </c>
      <c r="F9" s="149">
        <v>5758.38</v>
      </c>
      <c r="G9" s="100">
        <f t="shared" si="0"/>
        <v>66941.167499999996</v>
      </c>
      <c r="I9" s="128">
        <v>6</v>
      </c>
      <c r="J9" s="157" t="s">
        <v>153</v>
      </c>
      <c r="K9" s="158" t="s">
        <v>354</v>
      </c>
      <c r="L9" s="157" t="s">
        <v>6</v>
      </c>
      <c r="M9" s="157">
        <v>8.1999999999999993</v>
      </c>
      <c r="N9" s="149">
        <v>5758.38</v>
      </c>
      <c r="O9" s="166">
        <f t="shared" si="1"/>
        <v>47218.716</v>
      </c>
    </row>
    <row r="10" spans="1:15" ht="63" x14ac:dyDescent="0.25">
      <c r="A10" s="123">
        <v>7</v>
      </c>
      <c r="B10" s="158" t="s">
        <v>315</v>
      </c>
      <c r="C10" s="159" t="s">
        <v>305</v>
      </c>
      <c r="D10" s="152" t="s">
        <v>6</v>
      </c>
      <c r="E10" s="153">
        <f>(38+20+7+4)*0.25</f>
        <v>17.25</v>
      </c>
      <c r="F10" s="149">
        <v>9213.41</v>
      </c>
      <c r="G10" s="100">
        <f t="shared" si="0"/>
        <v>158931.32250000001</v>
      </c>
      <c r="I10" s="123">
        <v>7</v>
      </c>
      <c r="J10" s="158" t="s">
        <v>355</v>
      </c>
      <c r="K10" s="158" t="s">
        <v>356</v>
      </c>
      <c r="L10" s="157" t="s">
        <v>6</v>
      </c>
      <c r="M10" s="157">
        <v>12</v>
      </c>
      <c r="N10" s="149">
        <v>9213.41</v>
      </c>
      <c r="O10" s="166">
        <f t="shared" si="1"/>
        <v>110560.92</v>
      </c>
    </row>
    <row r="11" spans="1:15" ht="47.25" x14ac:dyDescent="0.25">
      <c r="A11" s="128">
        <v>8</v>
      </c>
      <c r="B11" s="146" t="s">
        <v>309</v>
      </c>
      <c r="C11" s="147" t="s">
        <v>310</v>
      </c>
      <c r="D11" s="148" t="s">
        <v>9</v>
      </c>
      <c r="E11" s="148">
        <f>(38+20+7+4)</f>
        <v>69</v>
      </c>
      <c r="F11" s="149">
        <v>1036.51</v>
      </c>
      <c r="G11" s="100">
        <f t="shared" si="0"/>
        <v>71519.19</v>
      </c>
      <c r="I11" s="128">
        <v>8</v>
      </c>
      <c r="J11" s="146" t="s">
        <v>357</v>
      </c>
      <c r="K11" s="176"/>
      <c r="L11" s="205" t="s">
        <v>9</v>
      </c>
      <c r="M11" s="205">
        <v>96.2</v>
      </c>
      <c r="N11" s="149">
        <v>1036.51</v>
      </c>
      <c r="O11" s="166">
        <f t="shared" si="1"/>
        <v>99712.262000000002</v>
      </c>
    </row>
    <row r="12" spans="1:15" ht="164.25" customHeight="1" x14ac:dyDescent="0.25">
      <c r="A12" s="123">
        <v>9</v>
      </c>
      <c r="B12" s="160" t="s">
        <v>340</v>
      </c>
      <c r="C12" s="161"/>
      <c r="D12" s="152" t="s">
        <v>11</v>
      </c>
      <c r="E12" s="152">
        <v>1</v>
      </c>
      <c r="F12" s="162">
        <v>325114.33</v>
      </c>
      <c r="G12" s="96">
        <f t="shared" si="0"/>
        <v>325114.33</v>
      </c>
      <c r="I12" s="123">
        <v>9</v>
      </c>
      <c r="J12" s="160" t="s">
        <v>358</v>
      </c>
      <c r="K12" s="161" t="s">
        <v>359</v>
      </c>
      <c r="L12" s="206" t="s">
        <v>6</v>
      </c>
      <c r="M12" s="157">
        <v>7</v>
      </c>
      <c r="N12" s="162">
        <v>34550.269999999997</v>
      </c>
      <c r="O12" s="184">
        <f t="shared" si="1"/>
        <v>241851.88999999998</v>
      </c>
    </row>
    <row r="13" spans="1:15" ht="63" x14ac:dyDescent="0.25">
      <c r="A13" s="128">
        <v>10</v>
      </c>
      <c r="B13" s="158" t="s">
        <v>307</v>
      </c>
      <c r="C13" s="154"/>
      <c r="D13" s="157" t="s">
        <v>11</v>
      </c>
      <c r="E13" s="157">
        <v>1</v>
      </c>
      <c r="F13" s="149">
        <v>50097.89</v>
      </c>
      <c r="G13" s="100">
        <f t="shared" si="0"/>
        <v>50097.89</v>
      </c>
      <c r="I13" s="128">
        <v>10</v>
      </c>
      <c r="J13" s="158" t="s">
        <v>360</v>
      </c>
      <c r="K13" s="154"/>
      <c r="L13" s="157" t="s">
        <v>11</v>
      </c>
      <c r="M13" s="157">
        <v>1</v>
      </c>
      <c r="N13" s="149">
        <v>50097.89</v>
      </c>
      <c r="O13" s="166">
        <f t="shared" si="1"/>
        <v>50097.89</v>
      </c>
    </row>
    <row r="14" spans="1:15" ht="198.75" customHeight="1" x14ac:dyDescent="0.25">
      <c r="A14" s="123">
        <v>11</v>
      </c>
      <c r="B14" s="163" t="s">
        <v>341</v>
      </c>
      <c r="C14" s="161"/>
      <c r="D14" s="157" t="s">
        <v>11</v>
      </c>
      <c r="E14" s="157">
        <v>1</v>
      </c>
      <c r="F14" s="149">
        <v>708180</v>
      </c>
      <c r="G14" s="100">
        <f t="shared" si="0"/>
        <v>708180</v>
      </c>
      <c r="I14" s="128">
        <v>11</v>
      </c>
      <c r="J14" s="163" t="s">
        <v>368</v>
      </c>
      <c r="K14" s="161" t="s">
        <v>369</v>
      </c>
      <c r="L14" s="157" t="s">
        <v>6</v>
      </c>
      <c r="M14" s="157">
        <v>10.5</v>
      </c>
      <c r="N14" s="208">
        <v>34550.269999999997</v>
      </c>
      <c r="O14" s="209">
        <f t="shared" si="1"/>
        <v>362777.83499999996</v>
      </c>
    </row>
    <row r="15" spans="1:15" ht="31.5" x14ac:dyDescent="0.25">
      <c r="A15" s="128">
        <v>12</v>
      </c>
      <c r="B15" s="158" t="s">
        <v>308</v>
      </c>
      <c r="C15" s="154"/>
      <c r="D15" s="152" t="s">
        <v>9</v>
      </c>
      <c r="E15" s="152">
        <v>7.6</v>
      </c>
      <c r="F15" s="149">
        <v>9213.41</v>
      </c>
      <c r="G15" s="100">
        <f t="shared" si="0"/>
        <v>70021.915999999997</v>
      </c>
      <c r="I15" s="128">
        <v>12</v>
      </c>
      <c r="J15" s="158" t="s">
        <v>361</v>
      </c>
      <c r="K15" s="154"/>
      <c r="L15" s="157" t="s">
        <v>9</v>
      </c>
      <c r="M15" s="157">
        <v>4</v>
      </c>
      <c r="N15" s="208">
        <v>9213.41</v>
      </c>
      <c r="O15" s="209">
        <f t="shared" ref="O15:O19" si="3">N15*M15</f>
        <v>36853.64</v>
      </c>
    </row>
    <row r="16" spans="1:15" ht="67.5" customHeight="1" x14ac:dyDescent="0.25">
      <c r="A16" s="123">
        <v>13</v>
      </c>
      <c r="B16" s="163" t="s">
        <v>342</v>
      </c>
      <c r="C16" s="154"/>
      <c r="D16" s="152" t="s">
        <v>11</v>
      </c>
      <c r="E16" s="152">
        <v>1</v>
      </c>
      <c r="F16" s="149">
        <v>22112.172000000002</v>
      </c>
      <c r="G16" s="100">
        <f t="shared" si="0"/>
        <v>22112.172000000002</v>
      </c>
      <c r="I16" s="123">
        <v>13</v>
      </c>
      <c r="J16" s="158" t="s">
        <v>362</v>
      </c>
      <c r="K16" s="154"/>
      <c r="L16" s="157" t="s">
        <v>6</v>
      </c>
      <c r="M16" s="157">
        <v>1.2</v>
      </c>
      <c r="N16" s="149">
        <v>18426.810000000001</v>
      </c>
      <c r="O16" s="166">
        <f>M16*N16</f>
        <v>22112.172000000002</v>
      </c>
    </row>
    <row r="17" spans="1:15" ht="47.25" x14ac:dyDescent="0.25">
      <c r="A17" s="128">
        <v>14</v>
      </c>
      <c r="B17" s="158" t="s">
        <v>154</v>
      </c>
      <c r="C17" s="154"/>
      <c r="D17" s="157" t="s">
        <v>9</v>
      </c>
      <c r="E17" s="157">
        <v>4</v>
      </c>
      <c r="F17" s="149">
        <v>2073.02</v>
      </c>
      <c r="G17" s="100">
        <f t="shared" si="0"/>
        <v>8292.08</v>
      </c>
      <c r="I17" s="128">
        <v>14</v>
      </c>
      <c r="J17" s="158" t="s">
        <v>154</v>
      </c>
      <c r="K17" s="154"/>
      <c r="L17" s="157" t="s">
        <v>9</v>
      </c>
      <c r="M17" s="157">
        <v>4</v>
      </c>
      <c r="N17" s="149">
        <v>2073.02</v>
      </c>
      <c r="O17" s="166">
        <f t="shared" si="3"/>
        <v>8292.08</v>
      </c>
    </row>
    <row r="18" spans="1:15" ht="321" customHeight="1" x14ac:dyDescent="0.25">
      <c r="A18" s="123">
        <v>15</v>
      </c>
      <c r="B18" s="163" t="s">
        <v>343</v>
      </c>
      <c r="C18" s="154"/>
      <c r="D18" s="152" t="s">
        <v>11</v>
      </c>
      <c r="E18" s="152">
        <v>1</v>
      </c>
      <c r="F18" s="149">
        <v>961274.8</v>
      </c>
      <c r="G18" s="100">
        <f t="shared" si="0"/>
        <v>961274.8</v>
      </c>
      <c r="I18" s="123">
        <v>15</v>
      </c>
      <c r="J18" s="163" t="s">
        <v>400</v>
      </c>
      <c r="K18" s="154"/>
      <c r="L18" s="157" t="s">
        <v>11</v>
      </c>
      <c r="M18" s="157">
        <v>1</v>
      </c>
      <c r="N18" s="149">
        <v>617371.88</v>
      </c>
      <c r="O18" s="166">
        <f t="shared" si="3"/>
        <v>617371.88</v>
      </c>
    </row>
    <row r="19" spans="1:15" ht="160.5" customHeight="1" x14ac:dyDescent="0.25">
      <c r="A19" s="128">
        <v>16</v>
      </c>
      <c r="B19" s="163" t="s">
        <v>344</v>
      </c>
      <c r="C19" s="154"/>
      <c r="D19" s="152" t="s">
        <v>11</v>
      </c>
      <c r="E19" s="152">
        <v>1</v>
      </c>
      <c r="F19" s="149">
        <v>395478.39</v>
      </c>
      <c r="G19" s="100">
        <f t="shared" si="0"/>
        <v>395478.39</v>
      </c>
      <c r="I19" s="128">
        <v>16</v>
      </c>
      <c r="J19" s="163" t="s">
        <v>401</v>
      </c>
      <c r="K19" s="154"/>
      <c r="L19" s="157" t="s">
        <v>11</v>
      </c>
      <c r="M19" s="157">
        <v>1</v>
      </c>
      <c r="N19" s="149">
        <v>325552.23</v>
      </c>
      <c r="O19" s="166">
        <f t="shared" si="3"/>
        <v>325552.23</v>
      </c>
    </row>
    <row r="20" spans="1:15" ht="98.25" customHeight="1" x14ac:dyDescent="0.25">
      <c r="A20" s="138">
        <v>17</v>
      </c>
      <c r="B20" s="159" t="s">
        <v>316</v>
      </c>
      <c r="C20" s="155"/>
      <c r="D20" s="152" t="s">
        <v>11</v>
      </c>
      <c r="E20" s="152">
        <v>2</v>
      </c>
      <c r="F20" s="149">
        <v>25600</v>
      </c>
      <c r="G20" s="100">
        <f t="shared" ref="G20:G21" si="4">F20*E20</f>
        <v>51200</v>
      </c>
      <c r="I20" s="207"/>
      <c r="J20" s="207"/>
      <c r="K20" s="207"/>
      <c r="L20" s="207"/>
      <c r="M20" s="207"/>
      <c r="N20" s="207"/>
      <c r="O20" s="207"/>
    </row>
    <row r="21" spans="1:15" ht="100.5" customHeight="1" x14ac:dyDescent="0.25">
      <c r="A21" s="139">
        <v>18</v>
      </c>
      <c r="B21" s="159" t="s">
        <v>320</v>
      </c>
      <c r="C21" s="155"/>
      <c r="D21" s="152" t="s">
        <v>11</v>
      </c>
      <c r="E21" s="152">
        <v>1</v>
      </c>
      <c r="F21" s="99">
        <v>44800</v>
      </c>
      <c r="G21" s="100">
        <f t="shared" si="4"/>
        <v>44800</v>
      </c>
      <c r="I21" s="207"/>
      <c r="J21" s="207"/>
      <c r="K21" s="207"/>
      <c r="L21" s="207"/>
      <c r="M21" s="207"/>
      <c r="N21" s="207"/>
      <c r="O21" s="207"/>
    </row>
    <row r="22" spans="1:15" x14ac:dyDescent="0.25">
      <c r="A22" s="138">
        <v>19</v>
      </c>
      <c r="B22" s="155" t="s">
        <v>156</v>
      </c>
      <c r="C22" s="2"/>
      <c r="D22" s="98" t="s">
        <v>11</v>
      </c>
      <c r="E22" s="98">
        <v>1</v>
      </c>
      <c r="F22" s="99">
        <v>231449.98</v>
      </c>
      <c r="G22" s="100">
        <f t="shared" si="0"/>
        <v>231449.98</v>
      </c>
      <c r="I22" s="128">
        <v>17</v>
      </c>
      <c r="J22" s="154" t="s">
        <v>156</v>
      </c>
      <c r="K22" s="154"/>
      <c r="L22" s="157" t="s">
        <v>11</v>
      </c>
      <c r="M22" s="157">
        <v>1</v>
      </c>
      <c r="N22" s="208">
        <v>143959.46</v>
      </c>
      <c r="O22" s="209">
        <f t="shared" ref="O22:O41" si="5">N22*M22</f>
        <v>143959.46</v>
      </c>
    </row>
    <row r="23" spans="1:15" ht="47.25" x14ac:dyDescent="0.25">
      <c r="A23" s="139">
        <v>20</v>
      </c>
      <c r="B23" s="159" t="s">
        <v>410</v>
      </c>
      <c r="C23" s="2"/>
      <c r="D23" s="98" t="s">
        <v>11</v>
      </c>
      <c r="E23" s="98">
        <v>1</v>
      </c>
      <c r="F23" s="99">
        <v>0</v>
      </c>
      <c r="G23" s="100">
        <f t="shared" si="0"/>
        <v>0</v>
      </c>
      <c r="I23" s="128">
        <v>18</v>
      </c>
      <c r="J23" s="154" t="s">
        <v>157</v>
      </c>
      <c r="K23" s="154"/>
      <c r="L23" s="157" t="s">
        <v>11</v>
      </c>
      <c r="M23" s="157">
        <v>1</v>
      </c>
      <c r="N23" s="149">
        <v>210663.37</v>
      </c>
      <c r="O23" s="166">
        <f t="shared" si="5"/>
        <v>210663.37</v>
      </c>
    </row>
    <row r="24" spans="1:15" ht="31.5" x14ac:dyDescent="0.25">
      <c r="A24" s="138">
        <v>21</v>
      </c>
      <c r="B24" s="158" t="s">
        <v>345</v>
      </c>
      <c r="C24" s="154"/>
      <c r="D24" s="157" t="s">
        <v>7</v>
      </c>
      <c r="E24" s="152">
        <v>21</v>
      </c>
      <c r="F24" s="164">
        <v>6760</v>
      </c>
      <c r="G24" s="165">
        <f t="shared" si="0"/>
        <v>141960</v>
      </c>
      <c r="I24" s="123">
        <v>19</v>
      </c>
      <c r="J24" s="158" t="s">
        <v>363</v>
      </c>
      <c r="K24" s="154"/>
      <c r="L24" s="157" t="s">
        <v>7</v>
      </c>
      <c r="M24" s="154">
        <v>24</v>
      </c>
      <c r="N24" s="164">
        <v>2994.36</v>
      </c>
      <c r="O24" s="165">
        <f t="shared" si="5"/>
        <v>71864.639999999999</v>
      </c>
    </row>
    <row r="25" spans="1:15" ht="189" x14ac:dyDescent="0.25">
      <c r="A25" s="140">
        <v>22</v>
      </c>
      <c r="B25" s="158" t="s">
        <v>346</v>
      </c>
      <c r="C25" s="154"/>
      <c r="D25" s="152" t="s">
        <v>11</v>
      </c>
      <c r="E25" s="152">
        <v>1</v>
      </c>
      <c r="F25" s="149">
        <v>21617.919999999998</v>
      </c>
      <c r="G25" s="166">
        <f t="shared" si="0"/>
        <v>21617.919999999998</v>
      </c>
      <c r="I25" s="128">
        <v>20</v>
      </c>
      <c r="J25" s="207" t="s">
        <v>364</v>
      </c>
      <c r="K25" s="154"/>
      <c r="L25" s="157" t="s">
        <v>7</v>
      </c>
      <c r="M25" s="154">
        <v>8</v>
      </c>
      <c r="N25" s="164">
        <v>575.84</v>
      </c>
      <c r="O25" s="165">
        <f t="shared" si="5"/>
        <v>4606.72</v>
      </c>
    </row>
    <row r="26" spans="1:15" ht="31.5" x14ac:dyDescent="0.25">
      <c r="A26" s="138">
        <v>23</v>
      </c>
      <c r="B26" s="151" t="s">
        <v>313</v>
      </c>
      <c r="C26" s="167" t="s">
        <v>311</v>
      </c>
      <c r="D26" s="152" t="s">
        <v>6</v>
      </c>
      <c r="E26" s="153">
        <f>(17+21)*0.6*0.45</f>
        <v>10.26</v>
      </c>
      <c r="F26" s="164">
        <v>1497.18</v>
      </c>
      <c r="G26" s="165">
        <f t="shared" si="0"/>
        <v>15361.066800000001</v>
      </c>
      <c r="I26" s="123">
        <v>21</v>
      </c>
      <c r="J26" s="154" t="s">
        <v>148</v>
      </c>
      <c r="K26" s="154" t="s">
        <v>365</v>
      </c>
      <c r="L26" s="157" t="s">
        <v>6</v>
      </c>
      <c r="M26" s="154">
        <v>8.6999999999999993</v>
      </c>
      <c r="N26" s="164">
        <v>1497.18</v>
      </c>
      <c r="O26" s="165">
        <f t="shared" si="5"/>
        <v>13025.466</v>
      </c>
    </row>
    <row r="27" spans="1:15" ht="31.5" x14ac:dyDescent="0.25">
      <c r="A27" s="139">
        <v>24</v>
      </c>
      <c r="B27" s="168" t="s">
        <v>314</v>
      </c>
      <c r="C27" s="167" t="s">
        <v>312</v>
      </c>
      <c r="D27" s="152" t="s">
        <v>6</v>
      </c>
      <c r="E27" s="152">
        <f>(17+21)*1*0.6</f>
        <v>22.8</v>
      </c>
      <c r="F27" s="164">
        <v>1497.18</v>
      </c>
      <c r="G27" s="165">
        <f t="shared" si="0"/>
        <v>34135.704000000005</v>
      </c>
      <c r="I27" s="128">
        <v>22</v>
      </c>
      <c r="J27" s="207" t="s">
        <v>138</v>
      </c>
      <c r="K27" s="154" t="s">
        <v>366</v>
      </c>
      <c r="L27" s="157" t="s">
        <v>6</v>
      </c>
      <c r="M27" s="154">
        <v>19.2</v>
      </c>
      <c r="N27" s="164">
        <v>1497.18</v>
      </c>
      <c r="O27" s="165">
        <f t="shared" si="5"/>
        <v>28745.856</v>
      </c>
    </row>
    <row r="28" spans="1:15" ht="31.5" x14ac:dyDescent="0.25">
      <c r="A28" s="138">
        <v>25</v>
      </c>
      <c r="B28" s="151" t="s">
        <v>264</v>
      </c>
      <c r="C28" s="154"/>
      <c r="D28" s="157" t="s">
        <v>11</v>
      </c>
      <c r="E28" s="157">
        <v>1</v>
      </c>
      <c r="F28" s="149">
        <v>159238.45000000001</v>
      </c>
      <c r="G28" s="166">
        <f t="shared" si="0"/>
        <v>159238.45000000001</v>
      </c>
      <c r="I28" s="123">
        <v>23</v>
      </c>
      <c r="J28" s="158" t="s">
        <v>264</v>
      </c>
      <c r="K28" s="154"/>
      <c r="L28" s="157" t="s">
        <v>11</v>
      </c>
      <c r="M28" s="157">
        <v>1</v>
      </c>
      <c r="N28" s="149">
        <v>32822.76</v>
      </c>
      <c r="O28" s="166">
        <f t="shared" si="5"/>
        <v>32822.76</v>
      </c>
    </row>
    <row r="29" spans="1:15" x14ac:dyDescent="0.25">
      <c r="A29" s="139">
        <v>26</v>
      </c>
      <c r="B29" s="154" t="s">
        <v>159</v>
      </c>
      <c r="C29" s="154"/>
      <c r="D29" s="157" t="s">
        <v>11</v>
      </c>
      <c r="E29" s="157">
        <v>1</v>
      </c>
      <c r="F29" s="149">
        <v>115168.47</v>
      </c>
      <c r="G29" s="166">
        <f t="shared" ref="G29" si="6">F29*E29</f>
        <v>115168.47</v>
      </c>
      <c r="I29" s="128">
        <v>24</v>
      </c>
      <c r="J29" s="154" t="s">
        <v>159</v>
      </c>
      <c r="K29" s="154"/>
      <c r="L29" s="157" t="s">
        <v>11</v>
      </c>
      <c r="M29" s="157">
        <v>1</v>
      </c>
      <c r="N29" s="149">
        <v>115168.47</v>
      </c>
      <c r="O29" s="166">
        <f t="shared" si="5"/>
        <v>115168.47</v>
      </c>
    </row>
    <row r="30" spans="1:15" ht="63" x14ac:dyDescent="0.25">
      <c r="A30" s="141">
        <v>27</v>
      </c>
      <c r="B30" s="157" t="s">
        <v>150</v>
      </c>
      <c r="C30" s="169" t="s">
        <v>326</v>
      </c>
      <c r="D30" s="152" t="s">
        <v>6</v>
      </c>
      <c r="E30" s="170">
        <f>(4.5*2.8)+(122*0.7)+(18*5.3)+(9*2.3)+(13.5*2.1)+(1.5*0.8)+(3.6*3.4)</f>
        <v>255.88999999999996</v>
      </c>
      <c r="F30" s="149">
        <v>714.04</v>
      </c>
      <c r="G30" s="166">
        <f t="shared" si="0"/>
        <v>182715.69559999995</v>
      </c>
      <c r="I30" s="123">
        <v>25</v>
      </c>
      <c r="J30" s="157" t="s">
        <v>150</v>
      </c>
      <c r="K30" s="150" t="s">
        <v>367</v>
      </c>
      <c r="L30" s="157" t="s">
        <v>6</v>
      </c>
      <c r="M30" s="157">
        <v>162</v>
      </c>
      <c r="N30" s="149">
        <v>714.04</v>
      </c>
      <c r="O30" s="166">
        <f t="shared" si="5"/>
        <v>115674.48</v>
      </c>
    </row>
    <row r="31" spans="1:15" ht="31.5" x14ac:dyDescent="0.25">
      <c r="A31" s="140">
        <v>28</v>
      </c>
      <c r="B31" s="158" t="s">
        <v>325</v>
      </c>
      <c r="C31" s="155"/>
      <c r="D31" s="152" t="s">
        <v>6</v>
      </c>
      <c r="E31" s="170">
        <f>E30</f>
        <v>255.88999999999996</v>
      </c>
      <c r="F31" s="149">
        <v>161.22999999999999</v>
      </c>
      <c r="G31" s="166">
        <f t="shared" si="0"/>
        <v>41257.14469999999</v>
      </c>
      <c r="I31" s="128">
        <v>26</v>
      </c>
      <c r="J31" s="154" t="s">
        <v>149</v>
      </c>
      <c r="K31" s="154"/>
      <c r="L31" s="157" t="s">
        <v>6</v>
      </c>
      <c r="M31" s="157">
        <v>162</v>
      </c>
      <c r="N31" s="149">
        <v>161.22999999999999</v>
      </c>
      <c r="O31" s="166">
        <f t="shared" si="5"/>
        <v>26119.26</v>
      </c>
    </row>
    <row r="32" spans="1:15" x14ac:dyDescent="0.25">
      <c r="A32" s="123">
        <v>29</v>
      </c>
      <c r="B32" s="154" t="s">
        <v>135</v>
      </c>
      <c r="C32" s="154"/>
      <c r="D32" s="157" t="s">
        <v>11</v>
      </c>
      <c r="E32" s="157">
        <v>1</v>
      </c>
      <c r="F32" s="149">
        <v>36853.620000000003</v>
      </c>
      <c r="G32" s="166">
        <f t="shared" si="0"/>
        <v>36853.620000000003</v>
      </c>
      <c r="I32" s="123">
        <v>27</v>
      </c>
      <c r="J32" s="154" t="s">
        <v>135</v>
      </c>
      <c r="K32" s="154"/>
      <c r="L32" s="157" t="s">
        <v>11</v>
      </c>
      <c r="M32" s="157">
        <v>1</v>
      </c>
      <c r="N32" s="149">
        <v>36853.620000000003</v>
      </c>
      <c r="O32" s="166">
        <f t="shared" si="5"/>
        <v>36853.620000000003</v>
      </c>
    </row>
    <row r="33" spans="1:15" x14ac:dyDescent="0.25">
      <c r="A33" s="128">
        <v>30</v>
      </c>
      <c r="B33" s="154" t="s">
        <v>158</v>
      </c>
      <c r="C33" s="154"/>
      <c r="D33" s="157" t="s">
        <v>11</v>
      </c>
      <c r="E33" s="157">
        <v>1</v>
      </c>
      <c r="F33" s="149">
        <v>48370.38</v>
      </c>
      <c r="G33" s="166">
        <f t="shared" si="0"/>
        <v>48370.38</v>
      </c>
      <c r="I33" s="128">
        <v>28</v>
      </c>
      <c r="J33" s="154" t="s">
        <v>158</v>
      </c>
      <c r="K33" s="154"/>
      <c r="L33" s="157" t="s">
        <v>11</v>
      </c>
      <c r="M33" s="157">
        <v>1</v>
      </c>
      <c r="N33" s="149">
        <v>48370.38</v>
      </c>
      <c r="O33" s="166">
        <f t="shared" si="5"/>
        <v>48370.38</v>
      </c>
    </row>
    <row r="34" spans="1:15" x14ac:dyDescent="0.25">
      <c r="A34" s="123">
        <v>31</v>
      </c>
      <c r="B34" s="2" t="s">
        <v>18</v>
      </c>
      <c r="C34" s="2"/>
      <c r="D34" s="98" t="s">
        <v>11</v>
      </c>
      <c r="E34" s="98">
        <v>1</v>
      </c>
      <c r="F34" s="99">
        <v>34550.269999999997</v>
      </c>
      <c r="G34" s="100">
        <f t="shared" si="0"/>
        <v>34550.269999999997</v>
      </c>
      <c r="I34" s="123">
        <v>29</v>
      </c>
      <c r="J34" s="154" t="s">
        <v>18</v>
      </c>
      <c r="K34" s="154"/>
      <c r="L34" s="157" t="s">
        <v>11</v>
      </c>
      <c r="M34" s="157">
        <v>1</v>
      </c>
      <c r="N34" s="149">
        <v>34550.269999999997</v>
      </c>
      <c r="O34" s="166">
        <f t="shared" si="5"/>
        <v>34550.269999999997</v>
      </c>
    </row>
    <row r="35" spans="1:15" x14ac:dyDescent="0.25">
      <c r="A35" s="128">
        <v>32</v>
      </c>
      <c r="B35" s="2" t="s">
        <v>20</v>
      </c>
      <c r="C35" s="2"/>
      <c r="D35" s="98" t="s">
        <v>11</v>
      </c>
      <c r="E35" s="98">
        <v>1</v>
      </c>
      <c r="F35" s="99">
        <v>46067.03</v>
      </c>
      <c r="G35" s="100">
        <f t="shared" si="0"/>
        <v>46067.03</v>
      </c>
      <c r="I35" s="128">
        <v>30</v>
      </c>
      <c r="J35" s="154" t="s">
        <v>20</v>
      </c>
      <c r="K35" s="154"/>
      <c r="L35" s="157" t="s">
        <v>11</v>
      </c>
      <c r="M35" s="157">
        <v>1</v>
      </c>
      <c r="N35" s="149">
        <v>46067.03</v>
      </c>
      <c r="O35" s="166">
        <f t="shared" si="5"/>
        <v>46067.03</v>
      </c>
    </row>
    <row r="36" spans="1:15" x14ac:dyDescent="0.25">
      <c r="A36" s="123">
        <v>33</v>
      </c>
      <c r="B36" s="2" t="s">
        <v>12</v>
      </c>
      <c r="C36" s="2"/>
      <c r="D36" s="98" t="s">
        <v>11</v>
      </c>
      <c r="E36" s="98">
        <v>1</v>
      </c>
      <c r="F36" s="99">
        <v>34550.269999999997</v>
      </c>
      <c r="G36" s="100">
        <f t="shared" si="0"/>
        <v>34550.269999999997</v>
      </c>
      <c r="I36" s="123">
        <v>31</v>
      </c>
      <c r="J36" s="154" t="s">
        <v>12</v>
      </c>
      <c r="K36" s="154"/>
      <c r="L36" s="157" t="s">
        <v>11</v>
      </c>
      <c r="M36" s="157">
        <v>1</v>
      </c>
      <c r="N36" s="149">
        <v>34550.269999999997</v>
      </c>
      <c r="O36" s="166">
        <f t="shared" si="5"/>
        <v>34550.269999999997</v>
      </c>
    </row>
    <row r="37" spans="1:15" x14ac:dyDescent="0.25">
      <c r="A37" s="128">
        <v>34</v>
      </c>
      <c r="B37" s="2" t="s">
        <v>14</v>
      </c>
      <c r="C37" s="2"/>
      <c r="D37" s="98" t="s">
        <v>11</v>
      </c>
      <c r="E37" s="98">
        <v>1</v>
      </c>
      <c r="F37" s="99">
        <v>447241.74</v>
      </c>
      <c r="G37" s="100">
        <f t="shared" si="0"/>
        <v>447241.74</v>
      </c>
      <c r="I37" s="128">
        <v>32</v>
      </c>
      <c r="J37" s="154" t="s">
        <v>14</v>
      </c>
      <c r="K37" s="154"/>
      <c r="L37" s="157" t="s">
        <v>11</v>
      </c>
      <c r="M37" s="157">
        <v>1</v>
      </c>
      <c r="N37" s="149">
        <v>447241.74</v>
      </c>
      <c r="O37" s="166">
        <f t="shared" si="5"/>
        <v>447241.74</v>
      </c>
    </row>
    <row r="38" spans="1:15" x14ac:dyDescent="0.25">
      <c r="A38" s="123">
        <v>35</v>
      </c>
      <c r="B38" s="2" t="s">
        <v>19</v>
      </c>
      <c r="C38" s="2"/>
      <c r="D38" s="98" t="s">
        <v>11</v>
      </c>
      <c r="E38" s="98">
        <v>1</v>
      </c>
      <c r="F38" s="99">
        <v>78313.95</v>
      </c>
      <c r="G38" s="100">
        <f t="shared" si="0"/>
        <v>78313.95</v>
      </c>
      <c r="I38" s="123">
        <v>33</v>
      </c>
      <c r="J38" s="154" t="s">
        <v>19</v>
      </c>
      <c r="K38" s="154"/>
      <c r="L38" s="157" t="s">
        <v>11</v>
      </c>
      <c r="M38" s="157">
        <v>1</v>
      </c>
      <c r="N38" s="149">
        <v>78313.95</v>
      </c>
      <c r="O38" s="166">
        <f t="shared" si="5"/>
        <v>78313.95</v>
      </c>
    </row>
    <row r="39" spans="1:15" x14ac:dyDescent="0.25">
      <c r="A39" s="128">
        <v>36</v>
      </c>
      <c r="B39" s="2" t="s">
        <v>15</v>
      </c>
      <c r="C39" s="2"/>
      <c r="D39" s="98" t="s">
        <v>11</v>
      </c>
      <c r="E39" s="98">
        <v>1</v>
      </c>
      <c r="F39" s="99">
        <v>46067.03</v>
      </c>
      <c r="G39" s="100">
        <f t="shared" si="0"/>
        <v>46067.03</v>
      </c>
      <c r="I39" s="128">
        <v>34</v>
      </c>
      <c r="J39" s="154" t="s">
        <v>15</v>
      </c>
      <c r="K39" s="154"/>
      <c r="L39" s="157" t="s">
        <v>11</v>
      </c>
      <c r="M39" s="157">
        <v>1</v>
      </c>
      <c r="N39" s="149">
        <v>46067.03</v>
      </c>
      <c r="O39" s="166">
        <f t="shared" si="5"/>
        <v>46067.03</v>
      </c>
    </row>
    <row r="40" spans="1:15" x14ac:dyDescent="0.25">
      <c r="A40" s="123">
        <v>37</v>
      </c>
      <c r="B40" s="2" t="s">
        <v>16</v>
      </c>
      <c r="C40" s="2"/>
      <c r="D40" s="98" t="s">
        <v>11</v>
      </c>
      <c r="E40" s="98">
        <v>1</v>
      </c>
      <c r="F40" s="99">
        <v>23033.51</v>
      </c>
      <c r="G40" s="100">
        <f t="shared" si="0"/>
        <v>23033.51</v>
      </c>
      <c r="I40" s="123">
        <v>35</v>
      </c>
      <c r="J40" s="154" t="s">
        <v>16</v>
      </c>
      <c r="K40" s="154"/>
      <c r="L40" s="157" t="s">
        <v>11</v>
      </c>
      <c r="M40" s="157">
        <v>1</v>
      </c>
      <c r="N40" s="149">
        <v>23033.51</v>
      </c>
      <c r="O40" s="166">
        <f t="shared" si="5"/>
        <v>23033.51</v>
      </c>
    </row>
    <row r="41" spans="1:15" x14ac:dyDescent="0.25">
      <c r="A41" s="128">
        <v>38</v>
      </c>
      <c r="B41" s="2" t="s">
        <v>17</v>
      </c>
      <c r="C41" s="2"/>
      <c r="D41" s="98" t="s">
        <v>11</v>
      </c>
      <c r="E41" s="98">
        <v>1</v>
      </c>
      <c r="F41" s="5">
        <v>69100.539999999994</v>
      </c>
      <c r="G41" s="7">
        <f t="shared" ref="G41" si="7">F41*E41</f>
        <v>69100.539999999994</v>
      </c>
      <c r="I41" s="128">
        <v>36</v>
      </c>
      <c r="J41" s="154" t="s">
        <v>17</v>
      </c>
      <c r="K41" s="154"/>
      <c r="L41" s="157" t="s">
        <v>11</v>
      </c>
      <c r="M41" s="157">
        <v>1</v>
      </c>
      <c r="N41" s="164">
        <v>69100.539999999994</v>
      </c>
      <c r="O41" s="165">
        <f t="shared" si="5"/>
        <v>69100.539999999994</v>
      </c>
    </row>
    <row r="42" spans="1:15" x14ac:dyDescent="0.25">
      <c r="A42" s="141">
        <v>39</v>
      </c>
      <c r="B42" s="155" t="s">
        <v>321</v>
      </c>
      <c r="C42" s="155"/>
      <c r="D42" s="152" t="s">
        <v>11</v>
      </c>
      <c r="E42" s="152">
        <v>1</v>
      </c>
      <c r="F42" s="171">
        <v>20000</v>
      </c>
      <c r="G42" s="172">
        <f t="shared" ref="G42" si="8">F42*E42</f>
        <v>20000</v>
      </c>
      <c r="I42" s="207"/>
      <c r="J42" s="207"/>
      <c r="K42" s="207"/>
      <c r="L42" s="207"/>
      <c r="M42" s="207"/>
      <c r="N42" s="207"/>
      <c r="O42" s="207"/>
    </row>
    <row r="43" spans="1:15" x14ac:dyDescent="0.25">
      <c r="A43" s="140">
        <v>40</v>
      </c>
      <c r="B43" s="155" t="s">
        <v>322</v>
      </c>
      <c r="C43" s="155"/>
      <c r="D43" s="152" t="s">
        <v>11</v>
      </c>
      <c r="E43" s="152">
        <v>1</v>
      </c>
      <c r="F43" s="171">
        <v>16000</v>
      </c>
      <c r="G43" s="172">
        <f t="shared" ref="G43:G44" si="9">F43*E43</f>
        <v>16000</v>
      </c>
      <c r="I43" s="207"/>
      <c r="J43" s="207"/>
      <c r="K43" s="207"/>
      <c r="L43" s="207"/>
      <c r="M43" s="207"/>
      <c r="N43" s="207"/>
      <c r="O43" s="207"/>
    </row>
    <row r="44" spans="1:15" x14ac:dyDescent="0.25">
      <c r="A44" s="141">
        <v>41</v>
      </c>
      <c r="B44" s="155" t="s">
        <v>323</v>
      </c>
      <c r="C44" s="155"/>
      <c r="D44" s="152" t="s">
        <v>11</v>
      </c>
      <c r="E44" s="152">
        <v>1</v>
      </c>
      <c r="F44" s="171">
        <v>48963.34</v>
      </c>
      <c r="G44" s="172">
        <f t="shared" si="9"/>
        <v>48963.34</v>
      </c>
      <c r="I44" s="207"/>
      <c r="J44" s="207"/>
      <c r="K44" s="207"/>
      <c r="L44" s="207"/>
      <c r="M44" s="207"/>
      <c r="N44" s="207"/>
      <c r="O44" s="207"/>
    </row>
    <row r="45" spans="1:15" ht="16.5" thickBot="1" x14ac:dyDescent="0.3">
      <c r="A45" s="140">
        <v>42</v>
      </c>
      <c r="B45" s="155" t="s">
        <v>324</v>
      </c>
      <c r="C45" s="155"/>
      <c r="D45" s="152" t="s">
        <v>11</v>
      </c>
      <c r="E45" s="152">
        <v>1</v>
      </c>
      <c r="F45" s="171">
        <v>89600</v>
      </c>
      <c r="G45" s="172">
        <f t="shared" si="0"/>
        <v>89600</v>
      </c>
      <c r="I45" s="207"/>
      <c r="J45" s="207"/>
      <c r="K45" s="207"/>
      <c r="L45" s="207"/>
      <c r="M45" s="207"/>
      <c r="N45" s="207"/>
      <c r="O45" s="207"/>
    </row>
    <row r="46" spans="1:15" ht="16.5" thickBot="1" x14ac:dyDescent="0.3">
      <c r="A46" s="8"/>
      <c r="B46" s="173" t="s">
        <v>10</v>
      </c>
      <c r="C46" s="9"/>
      <c r="D46" s="9"/>
      <c r="E46" s="9"/>
      <c r="F46" s="9"/>
      <c r="G46" s="174">
        <f>SUM(G4:G45)</f>
        <v>6801228.6389300004</v>
      </c>
      <c r="I46" s="207"/>
      <c r="J46" s="207"/>
      <c r="K46" s="207"/>
      <c r="L46" s="207"/>
      <c r="M46" s="207"/>
      <c r="N46" s="207"/>
      <c r="O46" s="207"/>
    </row>
    <row r="47" spans="1:15" ht="16.5" thickBot="1" x14ac:dyDescent="0.3">
      <c r="I47" s="8"/>
      <c r="J47" s="195" t="s">
        <v>10</v>
      </c>
      <c r="K47" s="9"/>
      <c r="L47" s="9"/>
      <c r="M47" s="9"/>
      <c r="N47" s="9"/>
      <c r="O47" s="196">
        <f>SUM(O4:O46)</f>
        <v>4970021.8650000002</v>
      </c>
    </row>
  </sheetData>
  <pageMargins left="0.7" right="0.7" top="0.78740157499999996" bottom="0.78740157499999996" header="0.3" footer="0.3"/>
  <pageSetup paperSize="9" scale="82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E256C-CA74-4D2F-8A0C-E403002B1C59}">
  <sheetPr>
    <pageSetUpPr fitToPage="1"/>
  </sheetPr>
  <dimension ref="A1:O36"/>
  <sheetViews>
    <sheetView topLeftCell="A23" zoomScale="58" zoomScaleNormal="58" workbookViewId="0">
      <selection activeCell="A30" sqref="A30:A35"/>
    </sheetView>
  </sheetViews>
  <sheetFormatPr defaultColWidth="11" defaultRowHeight="15.75" x14ac:dyDescent="0.25"/>
  <cols>
    <col min="1" max="1" width="5.375" customWidth="1"/>
    <col min="2" max="2" width="40.5" customWidth="1"/>
    <col min="3" max="3" width="18.375" customWidth="1"/>
    <col min="4" max="4" width="4.625" customWidth="1"/>
    <col min="5" max="5" width="8.375" customWidth="1"/>
    <col min="6" max="6" width="14.5" customWidth="1"/>
    <col min="7" max="7" width="14.875" customWidth="1"/>
    <col min="10" max="10" width="42.125" customWidth="1"/>
    <col min="11" max="11" width="25.5" customWidth="1"/>
    <col min="14" max="14" width="16.375" customWidth="1"/>
    <col min="15" max="15" width="22.75" customWidth="1"/>
  </cols>
  <sheetData>
    <row r="1" spans="1:15" ht="54" customHeight="1" x14ac:dyDescent="0.7">
      <c r="B1" s="10" t="s">
        <v>21</v>
      </c>
      <c r="C1" s="197" t="s">
        <v>370</v>
      </c>
      <c r="J1" s="10" t="s">
        <v>21</v>
      </c>
      <c r="K1" s="197" t="s">
        <v>371</v>
      </c>
    </row>
    <row r="2" spans="1:15" ht="16.5" thickBot="1" x14ac:dyDescent="0.3">
      <c r="B2" s="1" t="s">
        <v>23</v>
      </c>
      <c r="C2" s="1"/>
      <c r="J2" s="10" t="s">
        <v>23</v>
      </c>
      <c r="K2" s="10"/>
    </row>
    <row r="3" spans="1:15" ht="16.5" thickBot="1" x14ac:dyDescent="0.3">
      <c r="A3" s="6" t="s">
        <v>0</v>
      </c>
      <c r="B3" s="6" t="s">
        <v>3</v>
      </c>
      <c r="C3" s="6" t="s">
        <v>13</v>
      </c>
      <c r="D3" s="6" t="s">
        <v>1</v>
      </c>
      <c r="E3" s="6" t="s">
        <v>2</v>
      </c>
      <c r="F3" s="6" t="s">
        <v>4</v>
      </c>
      <c r="G3" s="6" t="s">
        <v>5</v>
      </c>
      <c r="I3" s="194" t="s">
        <v>0</v>
      </c>
      <c r="J3" s="194" t="s">
        <v>3</v>
      </c>
      <c r="K3" s="194" t="s">
        <v>13</v>
      </c>
      <c r="L3" s="194" t="s">
        <v>1</v>
      </c>
      <c r="M3" s="194" t="s">
        <v>2</v>
      </c>
      <c r="N3" s="194" t="s">
        <v>4</v>
      </c>
      <c r="O3" s="194" t="s">
        <v>5</v>
      </c>
    </row>
    <row r="4" spans="1:15" x14ac:dyDescent="0.25">
      <c r="A4" s="102">
        <v>1</v>
      </c>
      <c r="B4" s="4" t="s">
        <v>265</v>
      </c>
      <c r="C4" s="175" t="s">
        <v>266</v>
      </c>
      <c r="D4" s="175" t="s">
        <v>6</v>
      </c>
      <c r="E4" s="152">
        <f>80*0.6*1.4</f>
        <v>67.199999999999989</v>
      </c>
      <c r="F4" s="99">
        <v>806.17</v>
      </c>
      <c r="G4" s="100">
        <f>F4*E4</f>
        <v>54174.623999999989</v>
      </c>
      <c r="I4" s="121">
        <v>1</v>
      </c>
      <c r="J4" s="176" t="s">
        <v>372</v>
      </c>
      <c r="K4" s="176" t="s">
        <v>373</v>
      </c>
      <c r="L4" s="176" t="s">
        <v>6</v>
      </c>
      <c r="M4" s="157">
        <v>84</v>
      </c>
      <c r="N4" s="149">
        <v>806.17</v>
      </c>
      <c r="O4" s="166">
        <f>N4*M4</f>
        <v>67718.28</v>
      </c>
    </row>
    <row r="5" spans="1:15" x14ac:dyDescent="0.25">
      <c r="A5" s="103">
        <v>2</v>
      </c>
      <c r="B5" s="2" t="s">
        <v>148</v>
      </c>
      <c r="C5" s="175" t="s">
        <v>267</v>
      </c>
      <c r="D5" s="175" t="s">
        <v>6</v>
      </c>
      <c r="E5" s="152">
        <f>80*0.6*0.45</f>
        <v>21.6</v>
      </c>
      <c r="F5" s="99">
        <v>1497.18</v>
      </c>
      <c r="G5" s="100">
        <f t="shared" ref="G5:G35" si="0">F5*E5</f>
        <v>32339.088000000003</v>
      </c>
      <c r="I5" s="122">
        <v>2</v>
      </c>
      <c r="J5" s="154" t="s">
        <v>148</v>
      </c>
      <c r="K5" s="176" t="s">
        <v>374</v>
      </c>
      <c r="L5" s="176" t="s">
        <v>6</v>
      </c>
      <c r="M5" s="157">
        <v>27</v>
      </c>
      <c r="N5" s="149">
        <v>1497.18</v>
      </c>
      <c r="O5" s="166">
        <f t="shared" ref="O5:O22" si="1">N5*M5</f>
        <v>40423.86</v>
      </c>
    </row>
    <row r="6" spans="1:15" x14ac:dyDescent="0.25">
      <c r="A6" s="103">
        <v>3</v>
      </c>
      <c r="B6" s="2" t="s">
        <v>138</v>
      </c>
      <c r="C6" s="155" t="s">
        <v>268</v>
      </c>
      <c r="D6" s="175" t="s">
        <v>6</v>
      </c>
      <c r="E6" s="153">
        <f>80*0.88*0.6</f>
        <v>42.24</v>
      </c>
      <c r="F6" s="99">
        <v>1497.18</v>
      </c>
      <c r="G6" s="100">
        <f t="shared" si="0"/>
        <v>63240.883200000004</v>
      </c>
      <c r="I6" s="122">
        <v>3</v>
      </c>
      <c r="J6" s="154" t="s">
        <v>138</v>
      </c>
      <c r="K6" s="154" t="s">
        <v>375</v>
      </c>
      <c r="L6" s="176" t="s">
        <v>6</v>
      </c>
      <c r="M6" s="157">
        <v>52.8</v>
      </c>
      <c r="N6" s="149">
        <v>1497.18</v>
      </c>
      <c r="O6" s="166">
        <f t="shared" si="1"/>
        <v>79051.103999999992</v>
      </c>
    </row>
    <row r="7" spans="1:15" x14ac:dyDescent="0.25">
      <c r="A7" s="102">
        <v>4</v>
      </c>
      <c r="B7" s="2" t="s">
        <v>140</v>
      </c>
      <c r="C7" s="155" t="s">
        <v>269</v>
      </c>
      <c r="D7" s="175" t="s">
        <v>142</v>
      </c>
      <c r="E7" s="152">
        <f>70*0.6*1.5</f>
        <v>63</v>
      </c>
      <c r="F7" s="99">
        <v>46.07</v>
      </c>
      <c r="G7" s="100">
        <f t="shared" ref="G7" si="2">F7*E7</f>
        <v>2902.41</v>
      </c>
      <c r="I7" s="121">
        <v>4</v>
      </c>
      <c r="J7" s="154" t="s">
        <v>140</v>
      </c>
      <c r="K7" s="154" t="s">
        <v>376</v>
      </c>
      <c r="L7" s="176" t="s">
        <v>142</v>
      </c>
      <c r="M7" s="157">
        <v>81</v>
      </c>
      <c r="N7" s="149">
        <v>46.07</v>
      </c>
      <c r="O7" s="166">
        <f t="shared" si="1"/>
        <v>3731.67</v>
      </c>
    </row>
    <row r="8" spans="1:15" x14ac:dyDescent="0.25">
      <c r="A8" s="122">
        <v>5</v>
      </c>
      <c r="B8" s="154" t="s">
        <v>141</v>
      </c>
      <c r="C8" s="155" t="s">
        <v>270</v>
      </c>
      <c r="D8" s="175" t="s">
        <v>6</v>
      </c>
      <c r="E8" s="153">
        <f>70*0.6*0.07</f>
        <v>2.9400000000000004</v>
      </c>
      <c r="F8" s="149">
        <v>11516.76</v>
      </c>
      <c r="G8" s="166">
        <f t="shared" ref="G8" si="3">F8*E8</f>
        <v>33859.274400000002</v>
      </c>
      <c r="I8" s="122">
        <v>5</v>
      </c>
      <c r="J8" s="154" t="s">
        <v>141</v>
      </c>
      <c r="K8" s="154" t="s">
        <v>377</v>
      </c>
      <c r="L8" s="176" t="s">
        <v>6</v>
      </c>
      <c r="M8" s="157">
        <v>3.8</v>
      </c>
      <c r="N8" s="149">
        <v>11516.76</v>
      </c>
      <c r="O8" s="166">
        <f t="shared" si="1"/>
        <v>43763.688000000002</v>
      </c>
    </row>
    <row r="9" spans="1:15" x14ac:dyDescent="0.25">
      <c r="A9" s="122">
        <v>6</v>
      </c>
      <c r="B9" s="154" t="s">
        <v>134</v>
      </c>
      <c r="C9" s="155" t="s">
        <v>271</v>
      </c>
      <c r="D9" s="155" t="s">
        <v>9</v>
      </c>
      <c r="E9" s="152">
        <f>80*1.5*2</f>
        <v>240</v>
      </c>
      <c r="F9" s="149">
        <v>179.66</v>
      </c>
      <c r="G9" s="166">
        <f t="shared" si="0"/>
        <v>43118.400000000001</v>
      </c>
      <c r="I9" s="122">
        <v>6</v>
      </c>
      <c r="J9" s="154" t="s">
        <v>134</v>
      </c>
      <c r="K9" s="154" t="s">
        <v>378</v>
      </c>
      <c r="L9" s="154" t="s">
        <v>9</v>
      </c>
      <c r="M9" s="157">
        <v>300</v>
      </c>
      <c r="N9" s="149">
        <v>179.66</v>
      </c>
      <c r="O9" s="166">
        <f t="shared" si="1"/>
        <v>53898</v>
      </c>
    </row>
    <row r="10" spans="1:15" x14ac:dyDescent="0.25">
      <c r="A10" s="121">
        <v>7</v>
      </c>
      <c r="B10" s="154" t="s">
        <v>279</v>
      </c>
      <c r="C10" s="154"/>
      <c r="D10" s="154" t="s">
        <v>7</v>
      </c>
      <c r="E10" s="152">
        <v>80</v>
      </c>
      <c r="F10" s="149">
        <v>395.21</v>
      </c>
      <c r="G10" s="166">
        <f t="shared" si="0"/>
        <v>31616.799999999999</v>
      </c>
      <c r="I10" s="121">
        <v>7</v>
      </c>
      <c r="J10" s="154" t="s">
        <v>379</v>
      </c>
      <c r="K10" s="154"/>
      <c r="L10" s="154" t="s">
        <v>7</v>
      </c>
      <c r="M10" s="157">
        <v>100</v>
      </c>
      <c r="N10" s="149">
        <v>299.44</v>
      </c>
      <c r="O10" s="166">
        <f t="shared" si="1"/>
        <v>29944</v>
      </c>
    </row>
    <row r="11" spans="1:15" x14ac:dyDescent="0.25">
      <c r="A11" s="122">
        <v>8</v>
      </c>
      <c r="B11" s="176" t="s">
        <v>239</v>
      </c>
      <c r="C11" s="176"/>
      <c r="D11" s="176" t="s">
        <v>7</v>
      </c>
      <c r="E11" s="152">
        <v>80</v>
      </c>
      <c r="F11" s="149">
        <v>11.52</v>
      </c>
      <c r="G11" s="166">
        <f t="shared" si="0"/>
        <v>921.59999999999991</v>
      </c>
      <c r="I11" s="122">
        <v>8</v>
      </c>
      <c r="J11" s="176" t="s">
        <v>239</v>
      </c>
      <c r="K11" s="176"/>
      <c r="L11" s="176" t="s">
        <v>7</v>
      </c>
      <c r="M11" s="157">
        <v>100</v>
      </c>
      <c r="N11" s="149">
        <v>11.52</v>
      </c>
      <c r="O11" s="166">
        <f t="shared" si="1"/>
        <v>1152</v>
      </c>
    </row>
    <row r="12" spans="1:15" x14ac:dyDescent="0.25">
      <c r="A12" s="122">
        <v>9</v>
      </c>
      <c r="B12" s="154" t="s">
        <v>240</v>
      </c>
      <c r="C12" s="154"/>
      <c r="D12" s="154" t="s">
        <v>7</v>
      </c>
      <c r="E12" s="152">
        <v>80</v>
      </c>
      <c r="F12" s="149">
        <v>28.79</v>
      </c>
      <c r="G12" s="166">
        <f t="shared" si="0"/>
        <v>2303.1999999999998</v>
      </c>
      <c r="I12" s="122">
        <v>9</v>
      </c>
      <c r="J12" s="154" t="s">
        <v>240</v>
      </c>
      <c r="K12" s="154"/>
      <c r="L12" s="154" t="s">
        <v>7</v>
      </c>
      <c r="M12" s="157">
        <v>100</v>
      </c>
      <c r="N12" s="149">
        <v>28.79</v>
      </c>
      <c r="O12" s="166">
        <f t="shared" si="1"/>
        <v>2879</v>
      </c>
    </row>
    <row r="13" spans="1:15" x14ac:dyDescent="0.25">
      <c r="A13" s="121">
        <v>10</v>
      </c>
      <c r="B13" s="154" t="s">
        <v>272</v>
      </c>
      <c r="C13" s="154"/>
      <c r="D13" s="154" t="s">
        <v>8</v>
      </c>
      <c r="E13" s="157">
        <v>1</v>
      </c>
      <c r="F13" s="149">
        <v>3455.03</v>
      </c>
      <c r="G13" s="166">
        <f t="shared" si="0"/>
        <v>3455.03</v>
      </c>
      <c r="I13" s="121">
        <v>10</v>
      </c>
      <c r="J13" s="154" t="s">
        <v>380</v>
      </c>
      <c r="K13" s="154"/>
      <c r="L13" s="154" t="s">
        <v>8</v>
      </c>
      <c r="M13" s="157">
        <v>1</v>
      </c>
      <c r="N13" s="149">
        <v>3455.03</v>
      </c>
      <c r="O13" s="166">
        <f t="shared" si="1"/>
        <v>3455.03</v>
      </c>
    </row>
    <row r="14" spans="1:15" ht="47.25" x14ac:dyDescent="0.25">
      <c r="A14" s="122">
        <v>11</v>
      </c>
      <c r="B14" s="158" t="s">
        <v>337</v>
      </c>
      <c r="C14" s="154"/>
      <c r="D14" s="157" t="s">
        <v>8</v>
      </c>
      <c r="E14" s="157">
        <v>1</v>
      </c>
      <c r="F14" s="149">
        <v>12105.32</v>
      </c>
      <c r="G14" s="166">
        <f t="shared" si="0"/>
        <v>12105.32</v>
      </c>
      <c r="I14" s="122">
        <v>11</v>
      </c>
      <c r="J14" s="158" t="s">
        <v>381</v>
      </c>
      <c r="K14" s="154"/>
      <c r="L14" s="157" t="s">
        <v>8</v>
      </c>
      <c r="M14" s="157">
        <v>1</v>
      </c>
      <c r="N14" s="149">
        <v>11516.76</v>
      </c>
      <c r="O14" s="166">
        <f t="shared" si="1"/>
        <v>11516.76</v>
      </c>
    </row>
    <row r="15" spans="1:15" ht="31.5" x14ac:dyDescent="0.25">
      <c r="A15" s="122">
        <v>12</v>
      </c>
      <c r="B15" s="158" t="s">
        <v>338</v>
      </c>
      <c r="C15" s="154"/>
      <c r="D15" s="157" t="s">
        <v>8</v>
      </c>
      <c r="E15" s="157">
        <v>1</v>
      </c>
      <c r="F15" s="149">
        <v>2879.19</v>
      </c>
      <c r="G15" s="166">
        <f t="shared" si="0"/>
        <v>2879.19</v>
      </c>
      <c r="I15" s="122">
        <v>12</v>
      </c>
      <c r="J15" s="158" t="s">
        <v>382</v>
      </c>
      <c r="K15" s="154"/>
      <c r="L15" s="157" t="s">
        <v>8</v>
      </c>
      <c r="M15" s="157">
        <v>1</v>
      </c>
      <c r="N15" s="149">
        <v>2879.19</v>
      </c>
      <c r="O15" s="166">
        <f t="shared" si="1"/>
        <v>2879.19</v>
      </c>
    </row>
    <row r="16" spans="1:15" ht="31.5" x14ac:dyDescent="0.25">
      <c r="A16" s="121">
        <v>13</v>
      </c>
      <c r="B16" s="151" t="s">
        <v>274</v>
      </c>
      <c r="C16" s="154"/>
      <c r="D16" s="157" t="s">
        <v>8</v>
      </c>
      <c r="E16" s="157">
        <v>1</v>
      </c>
      <c r="F16" s="149">
        <v>4203.5200000000004</v>
      </c>
      <c r="G16" s="166">
        <f t="shared" si="0"/>
        <v>4203.5200000000004</v>
      </c>
      <c r="I16" s="121">
        <v>13</v>
      </c>
      <c r="J16" s="158" t="s">
        <v>383</v>
      </c>
      <c r="K16" s="154"/>
      <c r="L16" s="157" t="s">
        <v>8</v>
      </c>
      <c r="M16" s="157">
        <v>1</v>
      </c>
      <c r="N16" s="149">
        <v>1612.35</v>
      </c>
      <c r="O16" s="166">
        <f t="shared" si="1"/>
        <v>1612.35</v>
      </c>
    </row>
    <row r="17" spans="1:15" x14ac:dyDescent="0.25">
      <c r="A17" s="122">
        <v>14</v>
      </c>
      <c r="B17" s="155" t="s">
        <v>273</v>
      </c>
      <c r="C17" s="154"/>
      <c r="D17" s="154" t="s">
        <v>8</v>
      </c>
      <c r="E17" s="157">
        <v>1</v>
      </c>
      <c r="F17" s="149">
        <v>538.88</v>
      </c>
      <c r="G17" s="166">
        <f t="shared" si="0"/>
        <v>538.88</v>
      </c>
      <c r="I17" s="122">
        <v>14</v>
      </c>
      <c r="J17" s="154" t="s">
        <v>384</v>
      </c>
      <c r="K17" s="154"/>
      <c r="L17" s="154" t="s">
        <v>8</v>
      </c>
      <c r="M17" s="157">
        <v>1</v>
      </c>
      <c r="N17" s="149">
        <v>287.92</v>
      </c>
      <c r="O17" s="166">
        <f t="shared" si="1"/>
        <v>287.92</v>
      </c>
    </row>
    <row r="18" spans="1:15" ht="71.25" customHeight="1" x14ac:dyDescent="0.25">
      <c r="A18" s="122">
        <v>15</v>
      </c>
      <c r="B18" s="159" t="s">
        <v>276</v>
      </c>
      <c r="C18" s="154"/>
      <c r="D18" s="157" t="s">
        <v>8</v>
      </c>
      <c r="E18" s="157">
        <v>1</v>
      </c>
      <c r="F18" s="149">
        <v>19378.88</v>
      </c>
      <c r="G18" s="166">
        <f t="shared" si="0"/>
        <v>19378.88</v>
      </c>
      <c r="I18" s="122">
        <v>15</v>
      </c>
      <c r="J18" s="158" t="s">
        <v>385</v>
      </c>
      <c r="K18" s="154"/>
      <c r="L18" s="157" t="s">
        <v>8</v>
      </c>
      <c r="M18" s="157">
        <v>1</v>
      </c>
      <c r="N18" s="149">
        <v>16123.46</v>
      </c>
      <c r="O18" s="166">
        <f t="shared" si="1"/>
        <v>16123.46</v>
      </c>
    </row>
    <row r="19" spans="1:15" ht="95.25" customHeight="1" x14ac:dyDescent="0.25">
      <c r="A19" s="121">
        <v>16</v>
      </c>
      <c r="B19" s="159" t="s">
        <v>275</v>
      </c>
      <c r="C19" s="154"/>
      <c r="D19" s="157" t="s">
        <v>8</v>
      </c>
      <c r="E19" s="157">
        <v>1</v>
      </c>
      <c r="F19" s="149">
        <v>6822.55</v>
      </c>
      <c r="G19" s="166">
        <f t="shared" ref="G19" si="4">F19*E19</f>
        <v>6822.55</v>
      </c>
      <c r="I19" s="121">
        <v>16</v>
      </c>
      <c r="J19" s="158" t="s">
        <v>386</v>
      </c>
      <c r="K19" s="154"/>
      <c r="L19" s="157" t="s">
        <v>8</v>
      </c>
      <c r="M19" s="157">
        <v>1</v>
      </c>
      <c r="N19" s="149">
        <v>2303.35</v>
      </c>
      <c r="O19" s="166">
        <f t="shared" si="1"/>
        <v>2303.35</v>
      </c>
    </row>
    <row r="20" spans="1:15" ht="68.25" customHeight="1" x14ac:dyDescent="0.25">
      <c r="A20" s="122">
        <v>17</v>
      </c>
      <c r="B20" s="163" t="s">
        <v>339</v>
      </c>
      <c r="C20" s="154"/>
      <c r="D20" s="157" t="s">
        <v>11</v>
      </c>
      <c r="E20" s="157">
        <v>1</v>
      </c>
      <c r="F20" s="149">
        <v>122454.2</v>
      </c>
      <c r="G20" s="166">
        <f t="shared" si="0"/>
        <v>122454.2</v>
      </c>
      <c r="I20" s="122">
        <v>17</v>
      </c>
      <c r="J20" s="163" t="s">
        <v>387</v>
      </c>
      <c r="K20" s="154"/>
      <c r="L20" s="157" t="s">
        <v>11</v>
      </c>
      <c r="M20" s="157">
        <v>1</v>
      </c>
      <c r="N20" s="149">
        <v>92134.06</v>
      </c>
      <c r="O20" s="166">
        <f t="shared" si="1"/>
        <v>92134.06</v>
      </c>
    </row>
    <row r="21" spans="1:15" x14ac:dyDescent="0.25">
      <c r="A21" s="122">
        <v>18</v>
      </c>
      <c r="B21" s="155" t="s">
        <v>277</v>
      </c>
      <c r="C21" s="154" t="s">
        <v>139</v>
      </c>
      <c r="D21" s="154" t="s">
        <v>8</v>
      </c>
      <c r="E21" s="157"/>
      <c r="F21" s="149">
        <v>1250</v>
      </c>
      <c r="G21" s="166">
        <f t="shared" si="0"/>
        <v>0</v>
      </c>
      <c r="I21" s="122">
        <v>18</v>
      </c>
      <c r="J21" s="154" t="s">
        <v>388</v>
      </c>
      <c r="K21" s="154" t="s">
        <v>139</v>
      </c>
      <c r="L21" s="154" t="s">
        <v>8</v>
      </c>
      <c r="M21" s="157"/>
      <c r="N21" s="149">
        <v>1000</v>
      </c>
      <c r="O21" s="166">
        <f t="shared" si="1"/>
        <v>0</v>
      </c>
    </row>
    <row r="22" spans="1:15" ht="63" x14ac:dyDescent="0.25">
      <c r="A22" s="121">
        <v>19</v>
      </c>
      <c r="B22" s="168" t="s">
        <v>278</v>
      </c>
      <c r="C22" s="154"/>
      <c r="D22" s="157" t="s">
        <v>11</v>
      </c>
      <c r="E22" s="157">
        <v>1</v>
      </c>
      <c r="F22" s="149">
        <v>168771.49</v>
      </c>
      <c r="G22" s="166">
        <f t="shared" ref="G22:G23" si="5">F22*E22</f>
        <v>168771.49</v>
      </c>
      <c r="I22" s="122">
        <v>19</v>
      </c>
      <c r="J22" s="210" t="s">
        <v>389</v>
      </c>
      <c r="K22" s="154"/>
      <c r="L22" s="157" t="s">
        <v>11</v>
      </c>
      <c r="M22" s="157">
        <v>1</v>
      </c>
      <c r="N22" s="208">
        <v>149717.82999999999</v>
      </c>
      <c r="O22" s="209">
        <f t="shared" si="1"/>
        <v>149717.82999999999</v>
      </c>
    </row>
    <row r="23" spans="1:15" ht="163.5" customHeight="1" x14ac:dyDescent="0.25">
      <c r="A23" s="135">
        <v>20</v>
      </c>
      <c r="B23" s="159" t="s">
        <v>300</v>
      </c>
      <c r="C23" s="167"/>
      <c r="D23" s="152" t="s">
        <v>11</v>
      </c>
      <c r="E23" s="152">
        <v>1</v>
      </c>
      <c r="F23" s="177">
        <v>239360</v>
      </c>
      <c r="G23" s="178">
        <f t="shared" si="5"/>
        <v>239360</v>
      </c>
      <c r="I23" s="207"/>
      <c r="J23" s="207"/>
      <c r="K23" s="211"/>
      <c r="L23" s="207"/>
      <c r="M23" s="207"/>
      <c r="N23" s="207"/>
      <c r="O23" s="207"/>
    </row>
    <row r="24" spans="1:15" x14ac:dyDescent="0.25">
      <c r="A24" s="136">
        <v>21</v>
      </c>
      <c r="B24" s="147" t="s">
        <v>297</v>
      </c>
      <c r="C24" s="147" t="s">
        <v>298</v>
      </c>
      <c r="D24" s="148" t="s">
        <v>6</v>
      </c>
      <c r="E24" s="152">
        <f>4.5*3.5*2.8</f>
        <v>44.099999999999994</v>
      </c>
      <c r="F24" s="177">
        <v>806.17</v>
      </c>
      <c r="G24" s="178">
        <f>F24*E24</f>
        <v>35552.096999999994</v>
      </c>
      <c r="I24" s="207"/>
      <c r="J24" s="207"/>
      <c r="K24" s="207"/>
      <c r="L24" s="207"/>
      <c r="M24" s="207"/>
      <c r="N24" s="207"/>
      <c r="O24" s="207"/>
    </row>
    <row r="25" spans="1:15" ht="21.75" customHeight="1" x14ac:dyDescent="0.25">
      <c r="A25" s="137">
        <v>22</v>
      </c>
      <c r="B25" s="167" t="s">
        <v>151</v>
      </c>
      <c r="C25" s="167" t="s">
        <v>296</v>
      </c>
      <c r="D25" s="167" t="s">
        <v>9</v>
      </c>
      <c r="E25" s="152">
        <f>3.8*2.8</f>
        <v>10.639999999999999</v>
      </c>
      <c r="F25" s="177">
        <v>69.099999999999994</v>
      </c>
      <c r="G25" s="178">
        <f t="shared" ref="G25:G27" si="6">F25*E25</f>
        <v>735.22399999999982</v>
      </c>
      <c r="I25" s="207"/>
      <c r="J25" s="207"/>
      <c r="K25" s="207"/>
      <c r="L25" s="207"/>
      <c r="M25" s="207"/>
      <c r="N25" s="207"/>
      <c r="O25" s="207"/>
    </row>
    <row r="26" spans="1:15" ht="31.5" customHeight="1" x14ac:dyDescent="0.25">
      <c r="A26" s="136">
        <v>23</v>
      </c>
      <c r="B26" s="151" t="s">
        <v>152</v>
      </c>
      <c r="C26" s="167" t="s">
        <v>294</v>
      </c>
      <c r="D26" s="152" t="s">
        <v>6</v>
      </c>
      <c r="E26" s="153">
        <f>3.8*2.8*0.3</f>
        <v>3.1919999999999997</v>
      </c>
      <c r="F26" s="177">
        <v>1497.18</v>
      </c>
      <c r="G26" s="178">
        <f t="shared" si="6"/>
        <v>4778.99856</v>
      </c>
      <c r="I26" s="207"/>
      <c r="J26" s="207"/>
      <c r="K26" s="207"/>
      <c r="L26" s="207"/>
      <c r="M26" s="207"/>
      <c r="N26" s="207"/>
      <c r="O26" s="207"/>
    </row>
    <row r="27" spans="1:15" ht="22.5" customHeight="1" x14ac:dyDescent="0.25">
      <c r="A27" s="135">
        <v>24</v>
      </c>
      <c r="B27" s="152" t="s">
        <v>153</v>
      </c>
      <c r="C27" s="167" t="s">
        <v>295</v>
      </c>
      <c r="D27" s="152" t="s">
        <v>6</v>
      </c>
      <c r="E27" s="153">
        <f>3.5*2.5*0.15</f>
        <v>1.3125</v>
      </c>
      <c r="F27" s="177">
        <v>5758.38</v>
      </c>
      <c r="G27" s="178">
        <f t="shared" si="6"/>
        <v>7557.8737499999997</v>
      </c>
      <c r="I27" s="207"/>
      <c r="J27" s="207"/>
      <c r="K27" s="207"/>
      <c r="L27" s="207"/>
      <c r="M27" s="207"/>
      <c r="N27" s="207"/>
      <c r="O27" s="207"/>
    </row>
    <row r="28" spans="1:15" ht="52.5" customHeight="1" x14ac:dyDescent="0.25">
      <c r="A28" s="121">
        <v>25</v>
      </c>
      <c r="B28" s="163" t="s">
        <v>150</v>
      </c>
      <c r="C28" s="159" t="s">
        <v>299</v>
      </c>
      <c r="D28" s="152" t="s">
        <v>6</v>
      </c>
      <c r="E28" s="153">
        <f>(80*0.6*1.4)+(4.5*3.5*2.8)-(2.7*2.5*2.3)</f>
        <v>95.774999999999977</v>
      </c>
      <c r="F28" s="149">
        <v>714.04</v>
      </c>
      <c r="G28" s="166">
        <f t="shared" ref="G28:G29" si="7">F28*E28</f>
        <v>68387.180999999982</v>
      </c>
      <c r="I28" s="122">
        <v>20</v>
      </c>
      <c r="J28" s="154" t="s">
        <v>150</v>
      </c>
      <c r="K28" s="154" t="s">
        <v>390</v>
      </c>
      <c r="L28" s="154" t="s">
        <v>6</v>
      </c>
      <c r="M28" s="154">
        <v>75.599999999999994</v>
      </c>
      <c r="N28" s="208">
        <v>714.04</v>
      </c>
      <c r="O28" s="209">
        <f t="shared" ref="O28:O34" si="8">N28*M28</f>
        <v>53981.423999999992</v>
      </c>
    </row>
    <row r="29" spans="1:15" x14ac:dyDescent="0.25">
      <c r="A29" s="135">
        <v>26</v>
      </c>
      <c r="B29" s="154" t="s">
        <v>149</v>
      </c>
      <c r="C29" s="154"/>
      <c r="D29" s="155" t="s">
        <v>6</v>
      </c>
      <c r="E29" s="153">
        <f>(80*0.6*1.4)+(4.5*3.5*2.8)-(2.7*2.5*2.3)</f>
        <v>95.774999999999977</v>
      </c>
      <c r="F29" s="149">
        <v>161.22999999999999</v>
      </c>
      <c r="G29" s="166">
        <f t="shared" si="7"/>
        <v>15441.803249999995</v>
      </c>
      <c r="I29" s="122">
        <v>21</v>
      </c>
      <c r="J29" s="154" t="s">
        <v>149</v>
      </c>
      <c r="K29" s="154" t="s">
        <v>390</v>
      </c>
      <c r="L29" s="154" t="s">
        <v>6</v>
      </c>
      <c r="M29" s="154">
        <v>75.599999999999994</v>
      </c>
      <c r="N29" s="149">
        <v>161.22999999999999</v>
      </c>
      <c r="O29" s="166">
        <f t="shared" si="8"/>
        <v>12188.987999999998</v>
      </c>
    </row>
    <row r="30" spans="1:15" x14ac:dyDescent="0.25">
      <c r="A30" s="121">
        <v>27</v>
      </c>
      <c r="B30" s="154" t="s">
        <v>137</v>
      </c>
      <c r="C30" s="154"/>
      <c r="D30" s="154" t="s">
        <v>11</v>
      </c>
      <c r="E30" s="157">
        <v>1</v>
      </c>
      <c r="F30" s="149">
        <v>11516.76</v>
      </c>
      <c r="G30" s="166">
        <f t="shared" si="0"/>
        <v>11516.76</v>
      </c>
      <c r="I30" s="121">
        <v>22</v>
      </c>
      <c r="J30" s="154" t="s">
        <v>137</v>
      </c>
      <c r="K30" s="154"/>
      <c r="L30" s="154" t="s">
        <v>11</v>
      </c>
      <c r="M30" s="157">
        <v>1</v>
      </c>
      <c r="N30" s="149">
        <v>11516.76</v>
      </c>
      <c r="O30" s="166">
        <f t="shared" si="8"/>
        <v>11516.76</v>
      </c>
    </row>
    <row r="31" spans="1:15" x14ac:dyDescent="0.25">
      <c r="A31" s="122">
        <v>28</v>
      </c>
      <c r="B31" s="154" t="s">
        <v>16</v>
      </c>
      <c r="C31" s="154"/>
      <c r="D31" s="154" t="s">
        <v>11</v>
      </c>
      <c r="E31" s="157">
        <v>1</v>
      </c>
      <c r="F31" s="149">
        <v>41460.32</v>
      </c>
      <c r="G31" s="166">
        <f t="shared" si="0"/>
        <v>41460.32</v>
      </c>
      <c r="I31" s="122">
        <v>23</v>
      </c>
      <c r="J31" s="154" t="s">
        <v>16</v>
      </c>
      <c r="K31" s="154"/>
      <c r="L31" s="154" t="s">
        <v>11</v>
      </c>
      <c r="M31" s="157">
        <v>1</v>
      </c>
      <c r="N31" s="149">
        <v>41460.32</v>
      </c>
      <c r="O31" s="166">
        <f t="shared" si="8"/>
        <v>41460.32</v>
      </c>
    </row>
    <row r="32" spans="1:15" x14ac:dyDescent="0.25">
      <c r="A32" s="121">
        <v>29</v>
      </c>
      <c r="B32" s="154" t="s">
        <v>135</v>
      </c>
      <c r="C32" s="154"/>
      <c r="D32" s="154" t="s">
        <v>11</v>
      </c>
      <c r="E32" s="157">
        <v>1</v>
      </c>
      <c r="F32" s="149">
        <v>16123.46</v>
      </c>
      <c r="G32" s="166">
        <f t="shared" si="0"/>
        <v>16123.46</v>
      </c>
      <c r="I32" s="122">
        <v>24</v>
      </c>
      <c r="J32" s="154" t="s">
        <v>135</v>
      </c>
      <c r="K32" s="154"/>
      <c r="L32" s="154" t="s">
        <v>11</v>
      </c>
      <c r="M32" s="157">
        <v>1</v>
      </c>
      <c r="N32" s="149">
        <v>16123.46</v>
      </c>
      <c r="O32" s="166">
        <f t="shared" si="8"/>
        <v>16123.46</v>
      </c>
    </row>
    <row r="33" spans="1:15" x14ac:dyDescent="0.25">
      <c r="A33" s="122">
        <v>30</v>
      </c>
      <c r="B33" s="154" t="s">
        <v>136</v>
      </c>
      <c r="C33" s="154"/>
      <c r="D33" s="154" t="s">
        <v>11</v>
      </c>
      <c r="E33" s="157">
        <v>1</v>
      </c>
      <c r="F33" s="149">
        <v>23033.51</v>
      </c>
      <c r="G33" s="166">
        <f t="shared" si="0"/>
        <v>23033.51</v>
      </c>
      <c r="I33" s="121">
        <v>25</v>
      </c>
      <c r="J33" s="154" t="s">
        <v>136</v>
      </c>
      <c r="K33" s="154"/>
      <c r="L33" s="154" t="s">
        <v>11</v>
      </c>
      <c r="M33" s="157">
        <v>1</v>
      </c>
      <c r="N33" s="149">
        <v>23033.51</v>
      </c>
      <c r="O33" s="166">
        <f t="shared" si="8"/>
        <v>23033.51</v>
      </c>
    </row>
    <row r="34" spans="1:15" ht="16.5" thickBot="1" x14ac:dyDescent="0.3">
      <c r="A34" s="121">
        <v>31</v>
      </c>
      <c r="B34" s="154" t="s">
        <v>20</v>
      </c>
      <c r="C34" s="154"/>
      <c r="D34" s="154" t="s">
        <v>11</v>
      </c>
      <c r="E34" s="157">
        <v>1</v>
      </c>
      <c r="F34" s="149">
        <v>20730.16</v>
      </c>
      <c r="G34" s="166">
        <f t="shared" si="0"/>
        <v>20730.16</v>
      </c>
      <c r="I34" s="122">
        <v>26</v>
      </c>
      <c r="J34" s="154" t="s">
        <v>20</v>
      </c>
      <c r="K34" s="154"/>
      <c r="L34" s="154" t="s">
        <v>11</v>
      </c>
      <c r="M34" s="157">
        <v>1</v>
      </c>
      <c r="N34" s="149">
        <v>20730.16</v>
      </c>
      <c r="O34" s="166">
        <f t="shared" si="8"/>
        <v>20730.16</v>
      </c>
    </row>
    <row r="35" spans="1:15" ht="16.5" thickBot="1" x14ac:dyDescent="0.3">
      <c r="A35" s="122">
        <v>32</v>
      </c>
      <c r="B35" s="154"/>
      <c r="C35" s="154"/>
      <c r="D35" s="154"/>
      <c r="E35" s="157"/>
      <c r="F35" s="149">
        <v>0</v>
      </c>
      <c r="G35" s="166">
        <f t="shared" si="0"/>
        <v>0</v>
      </c>
      <c r="I35" s="212"/>
      <c r="J35" s="213" t="s">
        <v>10</v>
      </c>
      <c r="K35" s="214"/>
      <c r="L35" s="214"/>
      <c r="M35" s="214"/>
      <c r="N35" s="214"/>
      <c r="O35" s="215">
        <f>SUM(O4:O34)</f>
        <v>781626.174</v>
      </c>
    </row>
    <row r="36" spans="1:15" ht="16.5" thickBot="1" x14ac:dyDescent="0.3">
      <c r="A36" s="104"/>
      <c r="B36" s="173" t="s">
        <v>10</v>
      </c>
      <c r="C36" s="9"/>
      <c r="D36" s="9"/>
      <c r="E36" s="9"/>
      <c r="F36" s="9"/>
      <c r="G36" s="174">
        <f>SUM(G4:G35)</f>
        <v>1089762.7271599998</v>
      </c>
      <c r="I36" s="207"/>
      <c r="J36" s="207"/>
      <c r="K36" s="207"/>
      <c r="L36" s="207"/>
      <c r="M36" s="207"/>
      <c r="N36" s="207"/>
      <c r="O36" s="207"/>
    </row>
  </sheetData>
  <pageMargins left="0.7" right="0.7" top="0.78740157499999996" bottom="0.78740157499999996" header="0.3" footer="0.3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9A321-D90F-417C-A748-9B7F1C9BC4C5}">
  <sheetPr>
    <pageSetUpPr fitToPage="1"/>
  </sheetPr>
  <dimension ref="A1:O47"/>
  <sheetViews>
    <sheetView topLeftCell="A32" zoomScale="55" zoomScaleNormal="55" workbookViewId="0">
      <selection activeCell="B39" sqref="B39"/>
    </sheetView>
  </sheetViews>
  <sheetFormatPr defaultColWidth="11" defaultRowHeight="15.75" x14ac:dyDescent="0.25"/>
  <cols>
    <col min="1" max="1" width="5.375" customWidth="1"/>
    <col min="2" max="2" width="59.625" customWidth="1"/>
    <col min="3" max="3" width="18.5" customWidth="1"/>
    <col min="4" max="4" width="4.625" customWidth="1"/>
    <col min="5" max="5" width="6.25" customWidth="1"/>
    <col min="6" max="6" width="18.75" customWidth="1"/>
    <col min="7" max="7" width="15.5" customWidth="1"/>
    <col min="10" max="10" width="48.875" customWidth="1"/>
    <col min="11" max="11" width="26.125" customWidth="1"/>
    <col min="14" max="14" width="16.75" customWidth="1"/>
    <col min="15" max="15" width="18.625" customWidth="1"/>
  </cols>
  <sheetData>
    <row r="1" spans="1:15" ht="46.5" x14ac:dyDescent="0.7">
      <c r="B1" s="10" t="s">
        <v>21</v>
      </c>
      <c r="C1" s="197" t="s">
        <v>370</v>
      </c>
      <c r="J1" s="10" t="s">
        <v>21</v>
      </c>
      <c r="K1" s="197" t="s">
        <v>371</v>
      </c>
    </row>
    <row r="2" spans="1:15" ht="16.5" thickBot="1" x14ac:dyDescent="0.3">
      <c r="B2" s="1" t="s">
        <v>24</v>
      </c>
      <c r="C2" s="1"/>
      <c r="J2" s="10" t="s">
        <v>24</v>
      </c>
      <c r="K2" s="10"/>
    </row>
    <row r="3" spans="1:15" ht="16.5" thickBot="1" x14ac:dyDescent="0.3">
      <c r="A3" s="6" t="s">
        <v>0</v>
      </c>
      <c r="B3" s="6" t="s">
        <v>3</v>
      </c>
      <c r="C3" s="6" t="s">
        <v>13</v>
      </c>
      <c r="D3" s="6" t="s">
        <v>1</v>
      </c>
      <c r="E3" s="6" t="s">
        <v>2</v>
      </c>
      <c r="F3" s="6" t="s">
        <v>4</v>
      </c>
      <c r="G3" s="6" t="s">
        <v>5</v>
      </c>
      <c r="I3" s="194" t="s">
        <v>0</v>
      </c>
      <c r="J3" s="194" t="s">
        <v>3</v>
      </c>
      <c r="K3" s="194" t="s">
        <v>13</v>
      </c>
      <c r="L3" s="194" t="s">
        <v>1</v>
      </c>
      <c r="M3" s="194" t="s">
        <v>2</v>
      </c>
      <c r="N3" s="194" t="s">
        <v>4</v>
      </c>
      <c r="O3" s="194" t="s">
        <v>5</v>
      </c>
    </row>
    <row r="4" spans="1:15" ht="229.5" customHeight="1" x14ac:dyDescent="0.25">
      <c r="A4" s="92" t="s">
        <v>105</v>
      </c>
      <c r="B4" s="179" t="s">
        <v>318</v>
      </c>
      <c r="C4" s="94"/>
      <c r="D4" s="94" t="s">
        <v>11</v>
      </c>
      <c r="E4" s="93">
        <v>1</v>
      </c>
      <c r="F4" s="95">
        <v>910253.25</v>
      </c>
      <c r="G4" s="96">
        <f t="shared" ref="G4:G14" si="0">F4*E4</f>
        <v>910253.25</v>
      </c>
      <c r="I4" s="92" t="s">
        <v>105</v>
      </c>
      <c r="J4" s="179" t="s">
        <v>402</v>
      </c>
      <c r="K4" s="182"/>
      <c r="L4" s="182" t="s">
        <v>11</v>
      </c>
      <c r="M4" s="183">
        <v>1</v>
      </c>
      <c r="N4" s="162">
        <v>910253.25</v>
      </c>
      <c r="O4" s="184">
        <f t="shared" ref="O4:O7" si="1">N4*M4</f>
        <v>910253.25</v>
      </c>
    </row>
    <row r="5" spans="1:15" ht="156.75" customHeight="1" x14ac:dyDescent="0.25">
      <c r="A5" s="92" t="s">
        <v>106</v>
      </c>
      <c r="B5" s="180" t="s">
        <v>280</v>
      </c>
      <c r="C5" s="94"/>
      <c r="D5" s="94" t="s">
        <v>11</v>
      </c>
      <c r="E5" s="93">
        <v>1</v>
      </c>
      <c r="F5" s="95">
        <v>435900.98</v>
      </c>
      <c r="G5" s="96">
        <f t="shared" si="0"/>
        <v>435900.98</v>
      </c>
      <c r="I5" s="92" t="s">
        <v>106</v>
      </c>
      <c r="J5" s="180" t="s">
        <v>403</v>
      </c>
      <c r="K5" s="182"/>
      <c r="L5" s="182" t="s">
        <v>11</v>
      </c>
      <c r="M5" s="183">
        <v>1</v>
      </c>
      <c r="N5" s="162">
        <v>435900.98</v>
      </c>
      <c r="O5" s="184">
        <f t="shared" si="1"/>
        <v>435900.98</v>
      </c>
    </row>
    <row r="6" spans="1:15" ht="282.75" customHeight="1" x14ac:dyDescent="0.25">
      <c r="A6" s="92" t="s">
        <v>107</v>
      </c>
      <c r="B6" s="105" t="s">
        <v>147</v>
      </c>
      <c r="C6" s="94"/>
      <c r="D6" s="94" t="s">
        <v>11</v>
      </c>
      <c r="E6" s="93">
        <v>1</v>
      </c>
      <c r="F6" s="95">
        <v>585273.29</v>
      </c>
      <c r="G6" s="96">
        <f t="shared" si="0"/>
        <v>585273.29</v>
      </c>
      <c r="I6" s="92" t="s">
        <v>107</v>
      </c>
      <c r="J6" s="158" t="s">
        <v>404</v>
      </c>
      <c r="K6" s="182"/>
      <c r="L6" s="182" t="s">
        <v>11</v>
      </c>
      <c r="M6" s="183">
        <v>1</v>
      </c>
      <c r="N6" s="162">
        <v>585273.29</v>
      </c>
      <c r="O6" s="184">
        <f t="shared" si="1"/>
        <v>585273.29</v>
      </c>
    </row>
    <row r="7" spans="1:15" ht="157.5" customHeight="1" x14ac:dyDescent="0.25">
      <c r="A7" s="92" t="s">
        <v>108</v>
      </c>
      <c r="B7" s="181" t="s">
        <v>109</v>
      </c>
      <c r="C7" s="2"/>
      <c r="D7" s="94" t="s">
        <v>11</v>
      </c>
      <c r="E7" s="93">
        <v>2</v>
      </c>
      <c r="F7" s="95">
        <v>252297.29</v>
      </c>
      <c r="G7" s="96">
        <f t="shared" si="0"/>
        <v>504594.58</v>
      </c>
      <c r="I7" s="92" t="s">
        <v>108</v>
      </c>
      <c r="J7" s="216" t="s">
        <v>405</v>
      </c>
      <c r="K7" s="154"/>
      <c r="L7" s="182" t="s">
        <v>11</v>
      </c>
      <c r="M7" s="183">
        <v>2</v>
      </c>
      <c r="N7" s="162">
        <v>252297.29</v>
      </c>
      <c r="O7" s="184">
        <f t="shared" si="1"/>
        <v>504594.58</v>
      </c>
    </row>
    <row r="8" spans="1:15" ht="137.25" customHeight="1" x14ac:dyDescent="0.25">
      <c r="A8" s="120" t="s">
        <v>281</v>
      </c>
      <c r="B8" s="161" t="s">
        <v>319</v>
      </c>
      <c r="C8" s="154"/>
      <c r="D8" s="182" t="s">
        <v>11</v>
      </c>
      <c r="E8" s="183">
        <v>1</v>
      </c>
      <c r="F8" s="162">
        <v>48640</v>
      </c>
      <c r="G8" s="184">
        <f t="shared" ref="G8" si="2">F8*E8</f>
        <v>48640</v>
      </c>
      <c r="J8" s="207"/>
      <c r="K8" s="207"/>
      <c r="L8" s="207"/>
      <c r="M8" s="207"/>
      <c r="N8" s="207"/>
      <c r="O8" s="207"/>
    </row>
    <row r="9" spans="1:15" ht="45" x14ac:dyDescent="0.25">
      <c r="A9" s="131" t="s">
        <v>110</v>
      </c>
      <c r="B9" s="185" t="s">
        <v>124</v>
      </c>
      <c r="C9" s="2"/>
      <c r="D9" s="182" t="s">
        <v>11</v>
      </c>
      <c r="E9" s="183">
        <v>4</v>
      </c>
      <c r="F9" s="162">
        <v>10905.09</v>
      </c>
      <c r="G9" s="184">
        <f t="shared" si="0"/>
        <v>43620.36</v>
      </c>
      <c r="I9" s="198" t="s">
        <v>111</v>
      </c>
      <c r="J9" s="217" t="s">
        <v>124</v>
      </c>
      <c r="K9" s="154"/>
      <c r="L9" s="206" t="s">
        <v>11</v>
      </c>
      <c r="M9" s="187">
        <v>4</v>
      </c>
      <c r="N9" s="218">
        <v>10905.09</v>
      </c>
      <c r="O9" s="219">
        <f t="shared" ref="O9:O18" si="3">N9*M9</f>
        <v>43620.36</v>
      </c>
    </row>
    <row r="10" spans="1:15" ht="47.25" x14ac:dyDescent="0.25">
      <c r="A10" s="131" t="s">
        <v>111</v>
      </c>
      <c r="B10" s="97" t="s">
        <v>125</v>
      </c>
      <c r="C10" s="4"/>
      <c r="D10" s="94" t="s">
        <v>11</v>
      </c>
      <c r="E10" s="93">
        <v>1</v>
      </c>
      <c r="F10" s="95">
        <v>9863.58</v>
      </c>
      <c r="G10" s="96">
        <f t="shared" si="0"/>
        <v>9863.58</v>
      </c>
      <c r="I10" s="92" t="s">
        <v>112</v>
      </c>
      <c r="J10" s="189" t="s">
        <v>125</v>
      </c>
      <c r="K10" s="176"/>
      <c r="L10" s="182" t="s">
        <v>11</v>
      </c>
      <c r="M10" s="183">
        <v>1</v>
      </c>
      <c r="N10" s="162">
        <v>9863.58</v>
      </c>
      <c r="O10" s="184">
        <f t="shared" si="3"/>
        <v>9863.58</v>
      </c>
    </row>
    <row r="11" spans="1:15" ht="30" x14ac:dyDescent="0.25">
      <c r="A11" s="131" t="s">
        <v>112</v>
      </c>
      <c r="B11" s="186" t="s">
        <v>113</v>
      </c>
      <c r="C11" s="2"/>
      <c r="D11" s="94" t="s">
        <v>11</v>
      </c>
      <c r="E11" s="93">
        <v>2</v>
      </c>
      <c r="F11" s="95">
        <v>8337.2199999999993</v>
      </c>
      <c r="G11" s="96">
        <f t="shared" si="0"/>
        <v>16674.439999999999</v>
      </c>
      <c r="I11" s="92" t="s">
        <v>114</v>
      </c>
      <c r="J11" s="220" t="s">
        <v>113</v>
      </c>
      <c r="K11" s="154"/>
      <c r="L11" s="182" t="s">
        <v>11</v>
      </c>
      <c r="M11" s="183">
        <v>2</v>
      </c>
      <c r="N11" s="162">
        <v>8337.2199999999993</v>
      </c>
      <c r="O11" s="184">
        <f t="shared" si="3"/>
        <v>16674.439999999999</v>
      </c>
    </row>
    <row r="12" spans="1:15" ht="270" customHeight="1" x14ac:dyDescent="0.25">
      <c r="A12" s="131" t="s">
        <v>114</v>
      </c>
      <c r="B12" s="163" t="s">
        <v>329</v>
      </c>
      <c r="C12" s="129"/>
      <c r="D12" s="182" t="s">
        <v>11</v>
      </c>
      <c r="E12" s="183">
        <v>1</v>
      </c>
      <c r="F12" s="162">
        <v>59999.25</v>
      </c>
      <c r="G12" s="184">
        <f t="shared" si="0"/>
        <v>59999.25</v>
      </c>
      <c r="I12" s="92" t="s">
        <v>116</v>
      </c>
      <c r="J12" s="158" t="s">
        <v>406</v>
      </c>
      <c r="K12" s="154"/>
      <c r="L12" s="182" t="s">
        <v>11</v>
      </c>
      <c r="M12" s="183">
        <v>1</v>
      </c>
      <c r="N12" s="162">
        <v>37196.86</v>
      </c>
      <c r="O12" s="184">
        <f t="shared" si="3"/>
        <v>37196.86</v>
      </c>
    </row>
    <row r="13" spans="1:15" ht="251.25" customHeight="1" x14ac:dyDescent="0.25">
      <c r="A13" s="131" t="s">
        <v>116</v>
      </c>
      <c r="B13" s="163" t="s">
        <v>330</v>
      </c>
      <c r="C13" s="154"/>
      <c r="D13" s="182" t="s">
        <v>11</v>
      </c>
      <c r="E13" s="183">
        <v>1</v>
      </c>
      <c r="F13" s="95">
        <v>14897.188049510347</v>
      </c>
      <c r="G13" s="96">
        <f t="shared" si="0"/>
        <v>14897.188049510347</v>
      </c>
      <c r="I13" s="92" t="s">
        <v>117</v>
      </c>
      <c r="J13" s="158" t="s">
        <v>407</v>
      </c>
      <c r="K13" s="154"/>
      <c r="L13" s="182" t="s">
        <v>11</v>
      </c>
      <c r="M13" s="183">
        <v>1</v>
      </c>
      <c r="N13" s="162">
        <v>13403.7</v>
      </c>
      <c r="O13" s="184">
        <f t="shared" si="3"/>
        <v>13403.7</v>
      </c>
    </row>
    <row r="14" spans="1:15" ht="87.75" customHeight="1" x14ac:dyDescent="0.25">
      <c r="A14" s="131" t="s">
        <v>117</v>
      </c>
      <c r="B14" s="159" t="s">
        <v>331</v>
      </c>
      <c r="C14" s="154"/>
      <c r="D14" s="182" t="s">
        <v>11</v>
      </c>
      <c r="E14" s="93">
        <v>1</v>
      </c>
      <c r="F14" s="95">
        <v>4012.2</v>
      </c>
      <c r="G14" s="96">
        <f t="shared" si="0"/>
        <v>4012.2</v>
      </c>
      <c r="I14" s="92" t="s">
        <v>118</v>
      </c>
      <c r="J14" s="158" t="s">
        <v>391</v>
      </c>
      <c r="K14" s="154"/>
      <c r="L14" s="182" t="s">
        <v>11</v>
      </c>
      <c r="M14" s="183">
        <v>1</v>
      </c>
      <c r="N14" s="162">
        <v>2565.3000000000002</v>
      </c>
      <c r="O14" s="184">
        <f t="shared" si="3"/>
        <v>2565.3000000000002</v>
      </c>
    </row>
    <row r="15" spans="1:15" ht="81.75" customHeight="1" x14ac:dyDescent="0.25">
      <c r="A15" s="131" t="s">
        <v>118</v>
      </c>
      <c r="B15" s="163" t="s">
        <v>241</v>
      </c>
      <c r="C15" s="154"/>
      <c r="D15" s="157" t="s">
        <v>11</v>
      </c>
      <c r="E15" s="187">
        <f>E13</f>
        <v>1</v>
      </c>
      <c r="F15" s="149">
        <v>7054.58</v>
      </c>
      <c r="G15" s="166">
        <f t="shared" ref="G15:G43" si="4">F15*E15</f>
        <v>7054.58</v>
      </c>
      <c r="I15" s="92" t="s">
        <v>119</v>
      </c>
      <c r="J15" s="163" t="s">
        <v>241</v>
      </c>
      <c r="K15" s="154"/>
      <c r="L15" s="157" t="s">
        <v>11</v>
      </c>
      <c r="M15" s="187">
        <f>M13</f>
        <v>1</v>
      </c>
      <c r="N15" s="149">
        <v>7054.58</v>
      </c>
      <c r="O15" s="166">
        <f t="shared" si="3"/>
        <v>7054.58</v>
      </c>
    </row>
    <row r="16" spans="1:15" ht="343.5" customHeight="1" x14ac:dyDescent="0.25">
      <c r="A16" s="131" t="s">
        <v>119</v>
      </c>
      <c r="B16" s="159" t="s">
        <v>332</v>
      </c>
      <c r="C16" s="154"/>
      <c r="D16" s="157" t="s">
        <v>11</v>
      </c>
      <c r="E16" s="187">
        <f>E14</f>
        <v>1</v>
      </c>
      <c r="F16" s="149">
        <v>61440</v>
      </c>
      <c r="G16" s="100">
        <f t="shared" ref="G16:G22" si="5">F16*E16</f>
        <v>61440</v>
      </c>
      <c r="I16" s="92" t="s">
        <v>120</v>
      </c>
      <c r="J16" s="163" t="s">
        <v>392</v>
      </c>
      <c r="K16" s="154"/>
      <c r="L16" s="157" t="s">
        <v>11</v>
      </c>
      <c r="M16" s="187">
        <f>M14</f>
        <v>1</v>
      </c>
      <c r="N16" s="149">
        <v>32066.26</v>
      </c>
      <c r="O16" s="166">
        <f t="shared" si="3"/>
        <v>32066.26</v>
      </c>
    </row>
    <row r="17" spans="1:15" ht="150.75" customHeight="1" x14ac:dyDescent="0.25">
      <c r="A17" s="131" t="s">
        <v>120</v>
      </c>
      <c r="B17" s="163" t="s">
        <v>282</v>
      </c>
      <c r="C17" s="154"/>
      <c r="D17" s="157" t="s">
        <v>8</v>
      </c>
      <c r="E17" s="187">
        <f>E15</f>
        <v>1</v>
      </c>
      <c r="F17" s="99">
        <v>38479.51</v>
      </c>
      <c r="G17" s="100">
        <f t="shared" si="5"/>
        <v>38479.51</v>
      </c>
      <c r="I17" s="120" t="s">
        <v>242</v>
      </c>
      <c r="J17" s="163" t="s">
        <v>393</v>
      </c>
      <c r="K17" s="154"/>
      <c r="L17" s="157" t="s">
        <v>8</v>
      </c>
      <c r="M17" s="187">
        <f>M15</f>
        <v>1</v>
      </c>
      <c r="N17" s="149">
        <v>38479.51</v>
      </c>
      <c r="O17" s="166">
        <f t="shared" si="3"/>
        <v>38479.51</v>
      </c>
    </row>
    <row r="18" spans="1:15" ht="27.75" customHeight="1" x14ac:dyDescent="0.25">
      <c r="A18" s="131" t="s">
        <v>242</v>
      </c>
      <c r="B18" s="163" t="s">
        <v>244</v>
      </c>
      <c r="C18" s="154"/>
      <c r="D18" s="157" t="s">
        <v>8</v>
      </c>
      <c r="E18" s="187">
        <f>E16</f>
        <v>1</v>
      </c>
      <c r="F18" s="99">
        <v>9170.9500000000007</v>
      </c>
      <c r="G18" s="100">
        <f t="shared" si="5"/>
        <v>9170.9500000000007</v>
      </c>
      <c r="I18" s="120" t="s">
        <v>243</v>
      </c>
      <c r="J18" s="163" t="s">
        <v>244</v>
      </c>
      <c r="K18" s="154"/>
      <c r="L18" s="157" t="s">
        <v>8</v>
      </c>
      <c r="M18" s="187">
        <f>M16</f>
        <v>1</v>
      </c>
      <c r="N18" s="149">
        <v>9170.9500000000007</v>
      </c>
      <c r="O18" s="166">
        <f t="shared" si="3"/>
        <v>9170.9500000000007</v>
      </c>
    </row>
    <row r="19" spans="1:15" ht="81.75" customHeight="1" x14ac:dyDescent="0.25">
      <c r="A19" s="131" t="s">
        <v>243</v>
      </c>
      <c r="B19" s="159" t="s">
        <v>285</v>
      </c>
      <c r="C19" s="155"/>
      <c r="D19" s="152" t="s">
        <v>11</v>
      </c>
      <c r="E19" s="188">
        <v>2</v>
      </c>
      <c r="F19" s="177">
        <v>61220</v>
      </c>
      <c r="G19" s="178">
        <f t="shared" si="5"/>
        <v>122440</v>
      </c>
      <c r="J19" s="207"/>
      <c r="K19" s="207"/>
      <c r="L19" s="207"/>
      <c r="M19" s="207"/>
      <c r="N19" s="207"/>
      <c r="O19" s="207"/>
    </row>
    <row r="20" spans="1:15" ht="164.25" customHeight="1" x14ac:dyDescent="0.25">
      <c r="A20" s="131" t="s">
        <v>283</v>
      </c>
      <c r="B20" s="159" t="s">
        <v>286</v>
      </c>
      <c r="C20" s="155"/>
      <c r="D20" s="152" t="s">
        <v>11</v>
      </c>
      <c r="E20" s="188">
        <f>E17</f>
        <v>1</v>
      </c>
      <c r="F20" s="177">
        <v>49321.96</v>
      </c>
      <c r="G20" s="178">
        <f t="shared" ref="G20:G21" si="6">F20*E20</f>
        <v>49321.96</v>
      </c>
      <c r="J20" s="207"/>
      <c r="K20" s="207"/>
      <c r="L20" s="207"/>
      <c r="M20" s="207"/>
      <c r="N20" s="207"/>
      <c r="O20" s="207"/>
    </row>
    <row r="21" spans="1:15" ht="52.5" customHeight="1" x14ac:dyDescent="0.25">
      <c r="A21" s="131" t="s">
        <v>284</v>
      </c>
      <c r="B21" s="159" t="s">
        <v>287</v>
      </c>
      <c r="C21" s="155"/>
      <c r="D21" s="152" t="s">
        <v>8</v>
      </c>
      <c r="E21" s="188">
        <v>1</v>
      </c>
      <c r="F21" s="177">
        <v>2304</v>
      </c>
      <c r="G21" s="178">
        <f t="shared" si="6"/>
        <v>2304</v>
      </c>
      <c r="J21" s="207"/>
      <c r="K21" s="207"/>
      <c r="L21" s="207"/>
      <c r="M21" s="207"/>
      <c r="N21" s="207"/>
      <c r="O21" s="207"/>
    </row>
    <row r="22" spans="1:15" ht="78.75" x14ac:dyDescent="0.25">
      <c r="A22" s="120" t="s">
        <v>121</v>
      </c>
      <c r="B22" s="130" t="s">
        <v>328</v>
      </c>
      <c r="C22" s="154"/>
      <c r="D22" s="157" t="s">
        <v>11</v>
      </c>
      <c r="E22" s="187">
        <v>7</v>
      </c>
      <c r="F22" s="149">
        <v>11516.76</v>
      </c>
      <c r="G22" s="100">
        <f t="shared" si="5"/>
        <v>80617.320000000007</v>
      </c>
      <c r="I22" s="198" t="s">
        <v>121</v>
      </c>
      <c r="J22" s="158" t="s">
        <v>394</v>
      </c>
      <c r="K22" s="154"/>
      <c r="L22" s="157" t="s">
        <v>11</v>
      </c>
      <c r="M22" s="187">
        <v>7</v>
      </c>
      <c r="N22" s="208">
        <v>8061.73</v>
      </c>
      <c r="O22" s="209">
        <f t="shared" ref="O22:O25" si="7">N22*M22</f>
        <v>56432.11</v>
      </c>
    </row>
    <row r="23" spans="1:15" ht="51.75" customHeight="1" x14ac:dyDescent="0.25">
      <c r="A23" s="120" t="s">
        <v>122</v>
      </c>
      <c r="B23" s="161" t="s">
        <v>327</v>
      </c>
      <c r="C23" s="154"/>
      <c r="D23" s="157" t="s">
        <v>11</v>
      </c>
      <c r="E23" s="187">
        <v>1</v>
      </c>
      <c r="F23" s="149">
        <v>13771.61</v>
      </c>
      <c r="G23" s="100">
        <f t="shared" ref="G23" si="8">F23*E23</f>
        <v>13771.61</v>
      </c>
      <c r="I23" s="92" t="s">
        <v>122</v>
      </c>
      <c r="J23" s="161" t="s">
        <v>408</v>
      </c>
      <c r="K23" s="154"/>
      <c r="L23" s="157" t="s">
        <v>11</v>
      </c>
      <c r="M23" s="187">
        <v>1</v>
      </c>
      <c r="N23" s="149">
        <v>15391.8</v>
      </c>
      <c r="O23" s="166">
        <f t="shared" si="7"/>
        <v>15391.8</v>
      </c>
    </row>
    <row r="24" spans="1:15" ht="78.75" x14ac:dyDescent="0.25">
      <c r="A24" s="120" t="s">
        <v>123</v>
      </c>
      <c r="B24" s="158" t="s">
        <v>115</v>
      </c>
      <c r="C24" s="154"/>
      <c r="D24" s="157" t="s">
        <v>11</v>
      </c>
      <c r="E24" s="187">
        <v>1</v>
      </c>
      <c r="F24" s="99">
        <v>38479.51</v>
      </c>
      <c r="G24" s="100">
        <f t="shared" ref="G24" si="9">F24*E24</f>
        <v>38479.51</v>
      </c>
      <c r="I24" s="92" t="s">
        <v>123</v>
      </c>
      <c r="J24" s="158" t="s">
        <v>115</v>
      </c>
      <c r="K24" s="154"/>
      <c r="L24" s="157" t="s">
        <v>11</v>
      </c>
      <c r="M24" s="187">
        <v>1</v>
      </c>
      <c r="N24" s="149">
        <v>38479.51</v>
      </c>
      <c r="O24" s="166">
        <f t="shared" si="7"/>
        <v>38479.51</v>
      </c>
    </row>
    <row r="25" spans="1:15" ht="47.25" x14ac:dyDescent="0.25">
      <c r="A25" s="120" t="s">
        <v>155</v>
      </c>
      <c r="B25" s="189" t="s">
        <v>333</v>
      </c>
      <c r="C25" s="154"/>
      <c r="D25" s="157" t="s">
        <v>11</v>
      </c>
      <c r="E25" s="190">
        <v>1</v>
      </c>
      <c r="F25" s="5">
        <v>26198.14</v>
      </c>
      <c r="G25" s="7">
        <f>F25*E26</f>
        <v>26198.14</v>
      </c>
      <c r="I25" s="242" t="s">
        <v>155</v>
      </c>
      <c r="J25" s="189" t="s">
        <v>395</v>
      </c>
      <c r="K25" s="154"/>
      <c r="L25" s="157" t="s">
        <v>11</v>
      </c>
      <c r="M25" s="187">
        <v>1</v>
      </c>
      <c r="N25" s="221">
        <v>24370.36</v>
      </c>
      <c r="O25" s="209">
        <f t="shared" si="7"/>
        <v>24370.36</v>
      </c>
    </row>
    <row r="26" spans="1:15" ht="63" x14ac:dyDescent="0.25">
      <c r="A26" s="131" t="s">
        <v>245</v>
      </c>
      <c r="B26" s="191" t="s">
        <v>288</v>
      </c>
      <c r="C26" s="155"/>
      <c r="D26" s="152" t="s">
        <v>8</v>
      </c>
      <c r="E26" s="188">
        <v>1</v>
      </c>
      <c r="F26" s="177">
        <v>289630</v>
      </c>
      <c r="G26" s="178">
        <f t="shared" ref="G26:G32" si="10">F26*E29</f>
        <v>289630</v>
      </c>
      <c r="I26" s="207"/>
      <c r="J26" s="207"/>
      <c r="K26" s="207"/>
      <c r="L26" s="207"/>
      <c r="M26" s="207"/>
      <c r="N26" s="207"/>
      <c r="O26" s="207"/>
    </row>
    <row r="27" spans="1:15" ht="45" x14ac:dyDescent="0.25">
      <c r="A27" s="131" t="s">
        <v>289</v>
      </c>
      <c r="B27" s="192" t="s">
        <v>334</v>
      </c>
      <c r="C27" s="155"/>
      <c r="D27" s="152" t="s">
        <v>8</v>
      </c>
      <c r="E27" s="188">
        <v>1</v>
      </c>
      <c r="F27" s="177">
        <v>44621</v>
      </c>
      <c r="G27" s="178">
        <f t="shared" si="10"/>
        <v>44621</v>
      </c>
      <c r="I27" s="207"/>
      <c r="J27" s="207"/>
      <c r="K27" s="207"/>
      <c r="L27" s="207"/>
      <c r="M27" s="207"/>
      <c r="N27" s="207"/>
      <c r="O27" s="207"/>
    </row>
    <row r="28" spans="1:15" ht="78.75" x14ac:dyDescent="0.25">
      <c r="A28" s="131" t="s">
        <v>290</v>
      </c>
      <c r="B28" s="189" t="s">
        <v>291</v>
      </c>
      <c r="C28" s="154"/>
      <c r="D28" s="152" t="s">
        <v>11</v>
      </c>
      <c r="E28" s="188">
        <v>2</v>
      </c>
      <c r="F28" s="99">
        <v>0</v>
      </c>
      <c r="G28" s="100">
        <f t="shared" si="10"/>
        <v>0</v>
      </c>
      <c r="I28" s="242" t="s">
        <v>245</v>
      </c>
      <c r="J28" s="189" t="s">
        <v>396</v>
      </c>
      <c r="K28" s="154"/>
      <c r="L28" s="157" t="s">
        <v>11</v>
      </c>
      <c r="M28" s="187">
        <v>1</v>
      </c>
      <c r="N28" s="221">
        <v>0</v>
      </c>
      <c r="O28" s="209">
        <f t="shared" ref="O28:O32" si="11">N28*M28</f>
        <v>0</v>
      </c>
    </row>
    <row r="29" spans="1:15" ht="235.5" customHeight="1" x14ac:dyDescent="0.25">
      <c r="A29" s="120" t="s">
        <v>143</v>
      </c>
      <c r="B29" s="161" t="s">
        <v>246</v>
      </c>
      <c r="C29" s="154"/>
      <c r="D29" s="157" t="s">
        <v>11</v>
      </c>
      <c r="E29" s="187">
        <v>1</v>
      </c>
      <c r="F29" s="149">
        <v>14237.42</v>
      </c>
      <c r="G29" s="166">
        <f t="shared" si="10"/>
        <v>14237.42</v>
      </c>
      <c r="I29" s="120" t="s">
        <v>143</v>
      </c>
      <c r="J29" s="161" t="s">
        <v>246</v>
      </c>
      <c r="K29" s="154"/>
      <c r="L29" s="157" t="s">
        <v>11</v>
      </c>
      <c r="M29" s="187">
        <v>1</v>
      </c>
      <c r="N29" s="149">
        <v>14237.42</v>
      </c>
      <c r="O29" s="166">
        <f t="shared" si="11"/>
        <v>14237.42</v>
      </c>
    </row>
    <row r="30" spans="1:15" ht="116.25" customHeight="1" x14ac:dyDescent="0.25">
      <c r="A30" s="120" t="s">
        <v>144</v>
      </c>
      <c r="B30" s="161" t="s">
        <v>335</v>
      </c>
      <c r="C30" s="154"/>
      <c r="D30" s="157" t="s">
        <v>11</v>
      </c>
      <c r="E30" s="187">
        <v>1</v>
      </c>
      <c r="F30" s="149">
        <v>17404.545875223233</v>
      </c>
      <c r="G30" s="166">
        <f>F30*E30</f>
        <v>17404.545875223233</v>
      </c>
      <c r="I30" s="120" t="s">
        <v>144</v>
      </c>
      <c r="J30" s="161" t="s">
        <v>397</v>
      </c>
      <c r="K30" s="154"/>
      <c r="L30" s="157" t="s">
        <v>11</v>
      </c>
      <c r="M30" s="187">
        <v>1</v>
      </c>
      <c r="N30" s="149">
        <v>19853.98</v>
      </c>
      <c r="O30" s="166">
        <f t="shared" si="11"/>
        <v>19853.98</v>
      </c>
    </row>
    <row r="31" spans="1:15" ht="278.25" customHeight="1" x14ac:dyDescent="0.25">
      <c r="A31" s="120" t="s">
        <v>145</v>
      </c>
      <c r="B31" s="161" t="s">
        <v>247</v>
      </c>
      <c r="C31" s="154"/>
      <c r="D31" s="157" t="s">
        <v>11</v>
      </c>
      <c r="E31" s="187">
        <v>1</v>
      </c>
      <c r="F31" s="149">
        <v>19239.759999999998</v>
      </c>
      <c r="G31" s="166">
        <f>F31*E34</f>
        <v>19239.759999999998</v>
      </c>
      <c r="I31" s="120" t="s">
        <v>145</v>
      </c>
      <c r="J31" s="161" t="s">
        <v>247</v>
      </c>
      <c r="K31" s="154"/>
      <c r="L31" s="157" t="s">
        <v>11</v>
      </c>
      <c r="M31" s="187">
        <v>1</v>
      </c>
      <c r="N31" s="149">
        <v>19239.759999999998</v>
      </c>
      <c r="O31" s="166">
        <f t="shared" si="11"/>
        <v>19239.759999999998</v>
      </c>
    </row>
    <row r="32" spans="1:15" ht="119.25" customHeight="1" x14ac:dyDescent="0.25">
      <c r="A32" s="120" t="s">
        <v>146</v>
      </c>
      <c r="B32" s="161" t="s">
        <v>336</v>
      </c>
      <c r="C32" s="154"/>
      <c r="D32" s="157" t="s">
        <v>11</v>
      </c>
      <c r="E32" s="187">
        <v>1</v>
      </c>
      <c r="F32" s="99">
        <v>25478.21</v>
      </c>
      <c r="G32" s="100">
        <f t="shared" si="10"/>
        <v>25478.21</v>
      </c>
      <c r="I32" s="120" t="s">
        <v>146</v>
      </c>
      <c r="J32" s="161" t="s">
        <v>398</v>
      </c>
      <c r="K32" s="154"/>
      <c r="L32" s="157" t="s">
        <v>11</v>
      </c>
      <c r="M32" s="187">
        <v>1</v>
      </c>
      <c r="N32" s="149">
        <v>21777.96</v>
      </c>
      <c r="O32" s="166">
        <f t="shared" si="11"/>
        <v>21777.96</v>
      </c>
    </row>
    <row r="33" spans="1:15" x14ac:dyDescent="0.25">
      <c r="A33" s="92"/>
      <c r="B33" s="97"/>
      <c r="C33" s="2"/>
      <c r="D33" s="98"/>
      <c r="E33" s="2"/>
      <c r="F33" s="5"/>
      <c r="G33" s="7"/>
      <c r="I33" s="207"/>
      <c r="J33" s="207"/>
      <c r="K33" s="207"/>
      <c r="L33" s="207"/>
      <c r="M33" s="207"/>
      <c r="N33" s="207"/>
      <c r="O33" s="207"/>
    </row>
    <row r="34" spans="1:15" x14ac:dyDescent="0.25">
      <c r="A34" s="92" t="s">
        <v>248</v>
      </c>
      <c r="B34" s="2" t="s">
        <v>128</v>
      </c>
      <c r="C34" s="2"/>
      <c r="D34" s="2" t="s">
        <v>11</v>
      </c>
      <c r="E34" s="2">
        <v>1</v>
      </c>
      <c r="F34" s="5">
        <v>65577.759999999995</v>
      </c>
      <c r="G34" s="7">
        <f t="shared" si="4"/>
        <v>65577.759999999995</v>
      </c>
      <c r="I34" s="242" t="s">
        <v>248</v>
      </c>
      <c r="J34" s="154" t="s">
        <v>128</v>
      </c>
      <c r="K34" s="154"/>
      <c r="L34" s="154" t="s">
        <v>11</v>
      </c>
      <c r="M34" s="154">
        <v>1</v>
      </c>
      <c r="N34" s="221">
        <v>65577.759999999995</v>
      </c>
      <c r="O34" s="209">
        <f t="shared" ref="O34:O44" si="12">N34*M34</f>
        <v>65577.759999999995</v>
      </c>
    </row>
    <row r="35" spans="1:15" x14ac:dyDescent="0.25">
      <c r="A35" s="92" t="s">
        <v>249</v>
      </c>
      <c r="B35" s="2" t="s">
        <v>126</v>
      </c>
      <c r="C35" s="2"/>
      <c r="D35" s="2" t="s">
        <v>11</v>
      </c>
      <c r="E35" s="2">
        <v>1</v>
      </c>
      <c r="F35" s="5">
        <v>65577.77</v>
      </c>
      <c r="G35" s="7">
        <f t="shared" si="4"/>
        <v>65577.77</v>
      </c>
      <c r="I35" s="120" t="s">
        <v>249</v>
      </c>
      <c r="J35" s="154" t="s">
        <v>126</v>
      </c>
      <c r="K35" s="154"/>
      <c r="L35" s="154" t="s">
        <v>11</v>
      </c>
      <c r="M35" s="154">
        <v>1</v>
      </c>
      <c r="N35" s="164">
        <v>65577.77</v>
      </c>
      <c r="O35" s="166">
        <f t="shared" si="12"/>
        <v>65577.77</v>
      </c>
    </row>
    <row r="36" spans="1:15" x14ac:dyDescent="0.25">
      <c r="A36" s="92" t="s">
        <v>250</v>
      </c>
      <c r="B36" s="2" t="s">
        <v>129</v>
      </c>
      <c r="C36" s="2"/>
      <c r="D36" s="2" t="s">
        <v>11</v>
      </c>
      <c r="E36" s="2">
        <v>1</v>
      </c>
      <c r="F36" s="5">
        <v>17275.14</v>
      </c>
      <c r="G36" s="7">
        <f t="shared" si="4"/>
        <v>17275.14</v>
      </c>
      <c r="I36" s="120" t="s">
        <v>250</v>
      </c>
      <c r="J36" s="154" t="s">
        <v>129</v>
      </c>
      <c r="K36" s="154"/>
      <c r="L36" s="154" t="s">
        <v>11</v>
      </c>
      <c r="M36" s="154">
        <v>1</v>
      </c>
      <c r="N36" s="164">
        <v>17275.14</v>
      </c>
      <c r="O36" s="166">
        <f t="shared" si="12"/>
        <v>17275.14</v>
      </c>
    </row>
    <row r="37" spans="1:15" x14ac:dyDescent="0.25">
      <c r="A37" s="92" t="s">
        <v>251</v>
      </c>
      <c r="B37" s="2" t="s">
        <v>133</v>
      </c>
      <c r="C37" s="2"/>
      <c r="D37" s="2" t="s">
        <v>11</v>
      </c>
      <c r="E37" s="2">
        <v>1</v>
      </c>
      <c r="F37" s="5">
        <v>4606.7</v>
      </c>
      <c r="G37" s="7">
        <f t="shared" si="4"/>
        <v>4606.7</v>
      </c>
      <c r="I37" s="120" t="s">
        <v>251</v>
      </c>
      <c r="J37" s="154" t="s">
        <v>133</v>
      </c>
      <c r="K37" s="154"/>
      <c r="L37" s="154" t="s">
        <v>11</v>
      </c>
      <c r="M37" s="154">
        <v>1</v>
      </c>
      <c r="N37" s="164">
        <v>4606.7</v>
      </c>
      <c r="O37" s="166">
        <f t="shared" si="12"/>
        <v>4606.7</v>
      </c>
    </row>
    <row r="38" spans="1:15" x14ac:dyDescent="0.25">
      <c r="A38" s="92" t="s">
        <v>252</v>
      </c>
      <c r="B38" s="2" t="s">
        <v>237</v>
      </c>
      <c r="C38" s="2"/>
      <c r="D38" s="2" t="s">
        <v>11</v>
      </c>
      <c r="E38" s="2">
        <v>1</v>
      </c>
      <c r="F38" s="5">
        <v>17275.14</v>
      </c>
      <c r="G38" s="7">
        <f t="shared" ref="G38" si="13">F38*E38</f>
        <v>17275.14</v>
      </c>
      <c r="I38" s="120" t="s">
        <v>252</v>
      </c>
      <c r="J38" s="154" t="s">
        <v>237</v>
      </c>
      <c r="K38" s="154"/>
      <c r="L38" s="154" t="s">
        <v>11</v>
      </c>
      <c r="M38" s="154">
        <v>1</v>
      </c>
      <c r="N38" s="164">
        <v>17275.14</v>
      </c>
      <c r="O38" s="166">
        <f t="shared" si="12"/>
        <v>17275.14</v>
      </c>
    </row>
    <row r="39" spans="1:15" x14ac:dyDescent="0.25">
      <c r="A39" s="92" t="s">
        <v>253</v>
      </c>
      <c r="B39" s="101" t="s">
        <v>127</v>
      </c>
      <c r="C39" s="2"/>
      <c r="D39" s="2" t="s">
        <v>11</v>
      </c>
      <c r="E39" s="2">
        <v>1</v>
      </c>
      <c r="F39" s="5">
        <v>5758.38</v>
      </c>
      <c r="G39" s="7">
        <f t="shared" si="4"/>
        <v>5758.38</v>
      </c>
      <c r="I39" s="120" t="s">
        <v>253</v>
      </c>
      <c r="J39" s="222" t="s">
        <v>127</v>
      </c>
      <c r="K39" s="154"/>
      <c r="L39" s="154" t="s">
        <v>11</v>
      </c>
      <c r="M39" s="154">
        <v>1</v>
      </c>
      <c r="N39" s="164">
        <v>5758.38</v>
      </c>
      <c r="O39" s="166">
        <f t="shared" si="12"/>
        <v>5758.38</v>
      </c>
    </row>
    <row r="40" spans="1:15" x14ac:dyDescent="0.25">
      <c r="A40" s="92" t="s">
        <v>254</v>
      </c>
      <c r="B40" s="2" t="s">
        <v>238</v>
      </c>
      <c r="C40" s="2"/>
      <c r="D40" s="2" t="s">
        <v>11</v>
      </c>
      <c r="E40" s="2">
        <v>1</v>
      </c>
      <c r="F40" s="5">
        <v>11516.76</v>
      </c>
      <c r="G40" s="7">
        <f t="shared" si="4"/>
        <v>11516.76</v>
      </c>
      <c r="I40" s="120" t="s">
        <v>254</v>
      </c>
      <c r="J40" s="154" t="s">
        <v>238</v>
      </c>
      <c r="K40" s="154"/>
      <c r="L40" s="154" t="s">
        <v>11</v>
      </c>
      <c r="M40" s="154">
        <v>1</v>
      </c>
      <c r="N40" s="164">
        <v>11516.76</v>
      </c>
      <c r="O40" s="166">
        <f t="shared" si="12"/>
        <v>11516.76</v>
      </c>
    </row>
    <row r="41" spans="1:15" x14ac:dyDescent="0.25">
      <c r="A41" s="92" t="s">
        <v>255</v>
      </c>
      <c r="B41" s="2" t="s">
        <v>132</v>
      </c>
      <c r="C41" s="2"/>
      <c r="D41" s="2" t="s">
        <v>11</v>
      </c>
      <c r="E41" s="2">
        <v>1</v>
      </c>
      <c r="F41" s="5">
        <v>3455.03</v>
      </c>
      <c r="G41" s="7">
        <f t="shared" si="4"/>
        <v>3455.03</v>
      </c>
      <c r="I41" s="120" t="s">
        <v>255</v>
      </c>
      <c r="J41" s="154" t="s">
        <v>132</v>
      </c>
      <c r="K41" s="154"/>
      <c r="L41" s="154" t="s">
        <v>11</v>
      </c>
      <c r="M41" s="154">
        <v>1</v>
      </c>
      <c r="N41" s="164">
        <v>3455.03</v>
      </c>
      <c r="O41" s="166">
        <f t="shared" si="12"/>
        <v>3455.03</v>
      </c>
    </row>
    <row r="42" spans="1:15" x14ac:dyDescent="0.25">
      <c r="A42" s="92" t="s">
        <v>256</v>
      </c>
      <c r="B42" s="101" t="s">
        <v>131</v>
      </c>
      <c r="C42" s="2"/>
      <c r="D42" s="2" t="s">
        <v>11</v>
      </c>
      <c r="E42" s="2">
        <v>1</v>
      </c>
      <c r="F42" s="5">
        <v>34550.269999999997</v>
      </c>
      <c r="G42" s="7">
        <f t="shared" si="4"/>
        <v>34550.269999999997</v>
      </c>
      <c r="I42" s="120" t="s">
        <v>256</v>
      </c>
      <c r="J42" s="222" t="s">
        <v>131</v>
      </c>
      <c r="K42" s="154"/>
      <c r="L42" s="154" t="s">
        <v>11</v>
      </c>
      <c r="M42" s="154">
        <v>1</v>
      </c>
      <c r="N42" s="164">
        <v>34550.269999999997</v>
      </c>
      <c r="O42" s="166">
        <f t="shared" si="12"/>
        <v>34550.269999999997</v>
      </c>
    </row>
    <row r="43" spans="1:15" x14ac:dyDescent="0.25">
      <c r="A43" s="92" t="s">
        <v>257</v>
      </c>
      <c r="B43" s="2" t="s">
        <v>130</v>
      </c>
      <c r="C43" s="2"/>
      <c r="D43" s="2" t="s">
        <v>11</v>
      </c>
      <c r="E43" s="2">
        <v>1</v>
      </c>
      <c r="F43" s="3">
        <v>5758.38</v>
      </c>
      <c r="G43" s="7">
        <f t="shared" si="4"/>
        <v>5758.38</v>
      </c>
      <c r="I43" s="120" t="s">
        <v>257</v>
      </c>
      <c r="J43" s="154" t="s">
        <v>130</v>
      </c>
      <c r="K43" s="154"/>
      <c r="L43" s="154" t="s">
        <v>11</v>
      </c>
      <c r="M43" s="154">
        <v>1</v>
      </c>
      <c r="N43" s="221">
        <v>5758.38</v>
      </c>
      <c r="O43" s="166">
        <f t="shared" si="12"/>
        <v>5758.38</v>
      </c>
    </row>
    <row r="44" spans="1:15" ht="16.5" thickBot="1" x14ac:dyDescent="0.3">
      <c r="A44" s="92" t="s">
        <v>258</v>
      </c>
      <c r="B44" s="193"/>
      <c r="C44" s="193"/>
      <c r="D44" s="193"/>
      <c r="E44" s="193"/>
      <c r="F44" s="5">
        <v>0</v>
      </c>
      <c r="G44" s="7">
        <f t="shared" ref="G44" si="14">F44*E44</f>
        <v>0</v>
      </c>
      <c r="I44" s="242" t="s">
        <v>258</v>
      </c>
      <c r="J44" s="154"/>
      <c r="K44" s="154"/>
      <c r="L44" s="154"/>
      <c r="M44" s="154"/>
      <c r="N44" s="221">
        <v>0</v>
      </c>
      <c r="O44" s="223">
        <f t="shared" si="12"/>
        <v>0</v>
      </c>
    </row>
    <row r="45" spans="1:15" ht="16.5" thickBot="1" x14ac:dyDescent="0.3">
      <c r="A45" s="8"/>
      <c r="B45" s="173" t="s">
        <v>10</v>
      </c>
      <c r="C45" s="9"/>
      <c r="D45" s="9"/>
      <c r="E45" s="9"/>
      <c r="F45" s="9"/>
      <c r="G45" s="174">
        <f>SUM(G4:G44)</f>
        <v>3724968.9639247325</v>
      </c>
      <c r="I45" s="207"/>
      <c r="J45" s="207"/>
      <c r="K45" s="207"/>
      <c r="L45" s="207"/>
      <c r="M45" s="207"/>
      <c r="N45" s="207"/>
      <c r="O45" s="207"/>
    </row>
    <row r="46" spans="1:15" ht="90.75" thickBot="1" x14ac:dyDescent="0.3">
      <c r="I46" s="243" t="s">
        <v>110</v>
      </c>
      <c r="J46" s="224" t="s">
        <v>399</v>
      </c>
      <c r="K46" s="225"/>
      <c r="L46" s="226" t="s">
        <v>11</v>
      </c>
      <c r="M46" s="227">
        <v>1</v>
      </c>
      <c r="N46" s="228">
        <v>41044.81</v>
      </c>
      <c r="O46" s="229">
        <f t="shared" ref="O46" si="15">N46*M46</f>
        <v>41044.81</v>
      </c>
    </row>
    <row r="47" spans="1:15" ht="16.5" thickBot="1" x14ac:dyDescent="0.3">
      <c r="I47" s="8"/>
      <c r="J47" s="213" t="s">
        <v>10</v>
      </c>
      <c r="K47" s="214"/>
      <c r="L47" s="214"/>
      <c r="M47" s="214"/>
      <c r="N47" s="214"/>
      <c r="O47" s="215">
        <f>SUM(O4:O46)</f>
        <v>3128296.6799999983</v>
      </c>
    </row>
  </sheetData>
  <phoneticPr fontId="6" type="noConversion"/>
  <pageMargins left="0.7" right="0.7" top="0.78740157499999996" bottom="0.78740157499999996" header="0.3" footer="0.3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17A4-17E9-4C81-A6E6-C0DED625A9D8}">
  <dimension ref="B1:U97"/>
  <sheetViews>
    <sheetView tabSelected="1" topLeftCell="C54" zoomScale="59" zoomScaleNormal="59" workbookViewId="0">
      <selection activeCell="I109" sqref="I109"/>
    </sheetView>
  </sheetViews>
  <sheetFormatPr defaultColWidth="9" defaultRowHeight="15" x14ac:dyDescent="0.25"/>
  <cols>
    <col min="1" max="1" width="9" style="106"/>
    <col min="2" max="2" width="22.875" style="106" customWidth="1"/>
    <col min="3" max="3" width="35.875" style="106" customWidth="1"/>
    <col min="4" max="5" width="9" style="106"/>
    <col min="6" max="6" width="12.875" style="106" customWidth="1"/>
    <col min="7" max="10" width="12.875" style="107" customWidth="1"/>
    <col min="11" max="11" width="9" style="107"/>
    <col min="12" max="12" width="17.875" style="106" customWidth="1"/>
    <col min="13" max="13" width="32" style="107" customWidth="1"/>
    <col min="14" max="14" width="9" style="106"/>
    <col min="15" max="15" width="10.75" style="106" bestFit="1" customWidth="1"/>
    <col min="16" max="16" width="13.25" style="106" customWidth="1"/>
    <col min="17" max="17" width="13.875" style="106" customWidth="1"/>
    <col min="18" max="18" width="13.375" style="106" customWidth="1"/>
    <col min="19" max="19" width="13.5" style="106" customWidth="1"/>
    <col min="20" max="20" width="14" style="106" customWidth="1"/>
    <col min="21" max="16384" width="9" style="106"/>
  </cols>
  <sheetData>
    <row r="1" spans="2:21" ht="46.5" x14ac:dyDescent="0.7">
      <c r="C1" s="199" t="s">
        <v>370</v>
      </c>
      <c r="M1" s="200" t="s">
        <v>371</v>
      </c>
    </row>
    <row r="3" spans="2:21" x14ac:dyDescent="0.25">
      <c r="B3" s="119" t="s">
        <v>187</v>
      </c>
      <c r="C3" s="109"/>
      <c r="D3" s="109"/>
      <c r="E3" s="109"/>
      <c r="L3" s="109" t="s">
        <v>187</v>
      </c>
      <c r="M3" s="109"/>
      <c r="N3" s="109"/>
      <c r="O3" s="109"/>
      <c r="Q3" s="107"/>
      <c r="R3" s="107"/>
      <c r="S3" s="107"/>
      <c r="T3" s="107"/>
    </row>
    <row r="4" spans="2:21" x14ac:dyDescent="0.25">
      <c r="B4" s="111" t="s">
        <v>186</v>
      </c>
      <c r="C4" s="111"/>
      <c r="D4" s="111"/>
      <c r="E4" s="111"/>
      <c r="F4" s="108" t="s">
        <v>185</v>
      </c>
      <c r="G4" s="108" t="s">
        <v>184</v>
      </c>
      <c r="H4" s="108" t="s">
        <v>183</v>
      </c>
      <c r="I4" s="108" t="s">
        <v>182</v>
      </c>
      <c r="J4" s="108" t="s">
        <v>10</v>
      </c>
      <c r="L4" s="230" t="s">
        <v>186</v>
      </c>
      <c r="M4" s="230"/>
      <c r="N4" s="230"/>
      <c r="O4" s="230"/>
      <c r="P4" s="231" t="s">
        <v>185</v>
      </c>
      <c r="Q4" s="231" t="s">
        <v>184</v>
      </c>
      <c r="R4" s="231" t="s">
        <v>183</v>
      </c>
      <c r="S4" s="231" t="s">
        <v>182</v>
      </c>
      <c r="T4" s="231" t="s">
        <v>10</v>
      </c>
      <c r="U4" s="232"/>
    </row>
    <row r="5" spans="2:21" x14ac:dyDescent="0.25">
      <c r="B5" s="109"/>
      <c r="C5" s="109" t="s">
        <v>181</v>
      </c>
      <c r="D5" s="109" t="s">
        <v>7</v>
      </c>
      <c r="E5" s="109">
        <v>15</v>
      </c>
      <c r="F5" s="109">
        <v>237.25</v>
      </c>
      <c r="G5" s="108">
        <f>F5*E5</f>
        <v>3558.75</v>
      </c>
      <c r="H5" s="108">
        <v>28.79</v>
      </c>
      <c r="I5" s="108">
        <f>H5*E5</f>
        <v>431.84999999999997</v>
      </c>
      <c r="J5" s="108">
        <f>G5+I5</f>
        <v>3990.6</v>
      </c>
      <c r="L5" s="124"/>
      <c r="M5" s="124" t="s">
        <v>181</v>
      </c>
      <c r="N5" s="124" t="s">
        <v>7</v>
      </c>
      <c r="O5" s="124">
        <v>15</v>
      </c>
      <c r="P5" s="124">
        <v>237.25</v>
      </c>
      <c r="Q5" s="231">
        <f>P5*O5</f>
        <v>3558.75</v>
      </c>
      <c r="R5" s="231">
        <v>28.79</v>
      </c>
      <c r="S5" s="231">
        <f>R5*O5</f>
        <v>431.84999999999997</v>
      </c>
      <c r="T5" s="231">
        <f>Q5+S5</f>
        <v>3990.6</v>
      </c>
      <c r="U5" s="232"/>
    </row>
    <row r="6" spans="2:21" x14ac:dyDescent="0.25">
      <c r="B6" s="109"/>
      <c r="C6" s="109" t="s">
        <v>180</v>
      </c>
      <c r="D6" s="109" t="s">
        <v>7</v>
      </c>
      <c r="E6" s="109">
        <v>15</v>
      </c>
      <c r="F6" s="109">
        <v>90.98</v>
      </c>
      <c r="G6" s="108">
        <f>F6*E6</f>
        <v>1364.7</v>
      </c>
      <c r="H6" s="108">
        <v>26.49</v>
      </c>
      <c r="I6" s="108">
        <f>H6*E6</f>
        <v>397.34999999999997</v>
      </c>
      <c r="J6" s="108">
        <f>G6+I6</f>
        <v>1762.05</v>
      </c>
      <c r="L6" s="124"/>
      <c r="M6" s="124" t="s">
        <v>180</v>
      </c>
      <c r="N6" s="124" t="s">
        <v>7</v>
      </c>
      <c r="O6" s="124">
        <v>15</v>
      </c>
      <c r="P6" s="124">
        <v>90.98</v>
      </c>
      <c r="Q6" s="231">
        <f>P6*O6</f>
        <v>1364.7</v>
      </c>
      <c r="R6" s="231">
        <v>26.49</v>
      </c>
      <c r="S6" s="231">
        <f>R6*O6</f>
        <v>397.34999999999997</v>
      </c>
      <c r="T6" s="231">
        <f>Q6+S6</f>
        <v>1762.05</v>
      </c>
      <c r="U6" s="232"/>
    </row>
    <row r="7" spans="2:21" x14ac:dyDescent="0.25">
      <c r="B7" s="109"/>
      <c r="C7" s="109" t="s">
        <v>179</v>
      </c>
      <c r="D7" s="109" t="s">
        <v>7</v>
      </c>
      <c r="E7" s="109">
        <v>15</v>
      </c>
      <c r="F7" s="109">
        <v>66.8</v>
      </c>
      <c r="G7" s="108">
        <f>F7*E7</f>
        <v>1002</v>
      </c>
      <c r="H7" s="108">
        <v>19.579999999999998</v>
      </c>
      <c r="I7" s="108">
        <f>H7*E7</f>
        <v>293.7</v>
      </c>
      <c r="J7" s="108">
        <f>G7+I7</f>
        <v>1295.7</v>
      </c>
      <c r="L7" s="124"/>
      <c r="M7" s="124" t="s">
        <v>179</v>
      </c>
      <c r="N7" s="124" t="s">
        <v>7</v>
      </c>
      <c r="O7" s="124">
        <v>15</v>
      </c>
      <c r="P7" s="124">
        <v>66.8</v>
      </c>
      <c r="Q7" s="231">
        <f>P7*O7</f>
        <v>1002</v>
      </c>
      <c r="R7" s="231">
        <v>19.579999999999998</v>
      </c>
      <c r="S7" s="231">
        <f>R7*O7</f>
        <v>293.7</v>
      </c>
      <c r="T7" s="231">
        <f>Q7+S7</f>
        <v>1295.7</v>
      </c>
      <c r="U7" s="232"/>
    </row>
    <row r="8" spans="2:21" x14ac:dyDescent="0.25">
      <c r="B8" s="109"/>
      <c r="C8" s="109" t="s">
        <v>178</v>
      </c>
      <c r="D8" s="109" t="s">
        <v>8</v>
      </c>
      <c r="E8" s="109">
        <v>4</v>
      </c>
      <c r="F8" s="109">
        <v>40.31</v>
      </c>
      <c r="G8" s="108">
        <f>F8*E8</f>
        <v>161.24</v>
      </c>
      <c r="H8" s="108">
        <v>43.76</v>
      </c>
      <c r="I8" s="108">
        <f>H8*E8</f>
        <v>175.04</v>
      </c>
      <c r="J8" s="108">
        <f>G8+I8</f>
        <v>336.28</v>
      </c>
      <c r="L8" s="124"/>
      <c r="M8" s="124" t="s">
        <v>178</v>
      </c>
      <c r="N8" s="124" t="s">
        <v>8</v>
      </c>
      <c r="O8" s="124">
        <v>4</v>
      </c>
      <c r="P8" s="124">
        <v>40.31</v>
      </c>
      <c r="Q8" s="231">
        <f>P8*O8</f>
        <v>161.24</v>
      </c>
      <c r="R8" s="231">
        <v>43.76</v>
      </c>
      <c r="S8" s="231">
        <f>R8*O8</f>
        <v>175.04</v>
      </c>
      <c r="T8" s="231">
        <f>Q8+S8</f>
        <v>336.28</v>
      </c>
      <c r="U8" s="232"/>
    </row>
    <row r="9" spans="2:21" x14ac:dyDescent="0.25">
      <c r="B9" s="110" t="s">
        <v>177</v>
      </c>
      <c r="C9" s="110"/>
      <c r="D9" s="110"/>
      <c r="E9" s="110"/>
      <c r="F9" s="109"/>
      <c r="G9" s="108"/>
      <c r="H9" s="108"/>
      <c r="I9" s="108"/>
      <c r="J9" s="108"/>
      <c r="L9" s="233" t="s">
        <v>177</v>
      </c>
      <c r="M9" s="233"/>
      <c r="N9" s="233"/>
      <c r="O9" s="233"/>
      <c r="P9" s="124"/>
      <c r="Q9" s="231"/>
      <c r="R9" s="231"/>
      <c r="S9" s="231"/>
      <c r="T9" s="231"/>
      <c r="U9" s="232"/>
    </row>
    <row r="10" spans="2:21" x14ac:dyDescent="0.25">
      <c r="B10" s="109"/>
      <c r="C10" s="109" t="s">
        <v>176</v>
      </c>
      <c r="D10" s="109" t="s">
        <v>8</v>
      </c>
      <c r="E10" s="109">
        <v>3</v>
      </c>
      <c r="F10" s="109">
        <v>77.16</v>
      </c>
      <c r="G10" s="108">
        <f t="shared" ref="G10:G15" si="0">F10*E10</f>
        <v>231.48</v>
      </c>
      <c r="H10" s="108">
        <v>17.28</v>
      </c>
      <c r="I10" s="108">
        <f t="shared" ref="I10:I15" si="1">H10*E10</f>
        <v>51.84</v>
      </c>
      <c r="J10" s="108">
        <f t="shared" ref="J10:J15" si="2">G10+I10</f>
        <v>283.32</v>
      </c>
      <c r="L10" s="124"/>
      <c r="M10" s="124" t="s">
        <v>176</v>
      </c>
      <c r="N10" s="124" t="s">
        <v>8</v>
      </c>
      <c r="O10" s="124">
        <v>3</v>
      </c>
      <c r="P10" s="124">
        <v>77.16</v>
      </c>
      <c r="Q10" s="231">
        <f t="shared" ref="Q10:Q15" si="3">P10*O10</f>
        <v>231.48</v>
      </c>
      <c r="R10" s="231">
        <v>17.28</v>
      </c>
      <c r="S10" s="231">
        <f t="shared" ref="S10:S15" si="4">R10*O10</f>
        <v>51.84</v>
      </c>
      <c r="T10" s="231">
        <f t="shared" ref="T10:T15" si="5">Q10+S10</f>
        <v>283.32</v>
      </c>
      <c r="U10" s="232"/>
    </row>
    <row r="11" spans="2:21" x14ac:dyDescent="0.25">
      <c r="B11" s="109"/>
      <c r="C11" s="109" t="s">
        <v>175</v>
      </c>
      <c r="D11" s="109" t="s">
        <v>8</v>
      </c>
      <c r="E11" s="109">
        <v>1</v>
      </c>
      <c r="F11" s="109">
        <v>6073.94</v>
      </c>
      <c r="G11" s="108">
        <f t="shared" si="0"/>
        <v>6073.94</v>
      </c>
      <c r="H11" s="108">
        <v>1727.51</v>
      </c>
      <c r="I11" s="108">
        <f t="shared" si="1"/>
        <v>1727.51</v>
      </c>
      <c r="J11" s="108">
        <f t="shared" si="2"/>
        <v>7801.45</v>
      </c>
      <c r="L11" s="124"/>
      <c r="M11" s="124" t="s">
        <v>175</v>
      </c>
      <c r="N11" s="124" t="s">
        <v>8</v>
      </c>
      <c r="O11" s="124">
        <v>1</v>
      </c>
      <c r="P11" s="124">
        <v>6073.94</v>
      </c>
      <c r="Q11" s="231">
        <f t="shared" si="3"/>
        <v>6073.94</v>
      </c>
      <c r="R11" s="231">
        <v>1727.51</v>
      </c>
      <c r="S11" s="231">
        <f t="shared" si="4"/>
        <v>1727.51</v>
      </c>
      <c r="T11" s="231">
        <f t="shared" si="5"/>
        <v>7801.45</v>
      </c>
      <c r="U11" s="232"/>
    </row>
    <row r="12" spans="2:21" x14ac:dyDescent="0.25">
      <c r="B12" s="109"/>
      <c r="C12" s="109" t="s">
        <v>174</v>
      </c>
      <c r="D12" s="109" t="s">
        <v>7</v>
      </c>
      <c r="E12" s="109">
        <v>15</v>
      </c>
      <c r="F12" s="109">
        <v>34.549999999999997</v>
      </c>
      <c r="G12" s="108">
        <f t="shared" si="0"/>
        <v>518.25</v>
      </c>
      <c r="H12" s="108">
        <v>43.76</v>
      </c>
      <c r="I12" s="108">
        <f t="shared" si="1"/>
        <v>656.4</v>
      </c>
      <c r="J12" s="108">
        <f t="shared" si="2"/>
        <v>1174.6500000000001</v>
      </c>
      <c r="L12" s="124"/>
      <c r="M12" s="124" t="s">
        <v>174</v>
      </c>
      <c r="N12" s="124" t="s">
        <v>7</v>
      </c>
      <c r="O12" s="124">
        <v>15</v>
      </c>
      <c r="P12" s="124">
        <v>34.549999999999997</v>
      </c>
      <c r="Q12" s="231">
        <f t="shared" si="3"/>
        <v>518.25</v>
      </c>
      <c r="R12" s="231">
        <v>43.76</v>
      </c>
      <c r="S12" s="231">
        <f t="shared" si="4"/>
        <v>656.4</v>
      </c>
      <c r="T12" s="231">
        <f t="shared" si="5"/>
        <v>1174.6500000000001</v>
      </c>
      <c r="U12" s="232"/>
    </row>
    <row r="13" spans="2:21" x14ac:dyDescent="0.25">
      <c r="B13" s="109"/>
      <c r="C13" s="109" t="s">
        <v>173</v>
      </c>
      <c r="D13" s="109" t="s">
        <v>7</v>
      </c>
      <c r="E13" s="109">
        <v>15</v>
      </c>
      <c r="F13" s="109">
        <v>4.6100000000000003</v>
      </c>
      <c r="G13" s="108">
        <f t="shared" si="0"/>
        <v>69.150000000000006</v>
      </c>
      <c r="H13" s="108">
        <v>9.2100000000000009</v>
      </c>
      <c r="I13" s="108">
        <f t="shared" si="1"/>
        <v>138.15</v>
      </c>
      <c r="J13" s="108">
        <f t="shared" si="2"/>
        <v>207.3</v>
      </c>
      <c r="L13" s="124"/>
      <c r="M13" s="124" t="s">
        <v>173</v>
      </c>
      <c r="N13" s="124" t="s">
        <v>7</v>
      </c>
      <c r="O13" s="124">
        <v>15</v>
      </c>
      <c r="P13" s="124">
        <v>4.6100000000000003</v>
      </c>
      <c r="Q13" s="231">
        <f t="shared" si="3"/>
        <v>69.150000000000006</v>
      </c>
      <c r="R13" s="231">
        <v>9.2100000000000009</v>
      </c>
      <c r="S13" s="231">
        <f t="shared" si="4"/>
        <v>138.15</v>
      </c>
      <c r="T13" s="231">
        <f t="shared" si="5"/>
        <v>207.3</v>
      </c>
      <c r="U13" s="232"/>
    </row>
    <row r="14" spans="2:21" x14ac:dyDescent="0.25">
      <c r="B14" s="109"/>
      <c r="C14" s="109" t="s">
        <v>172</v>
      </c>
      <c r="D14" s="109" t="s">
        <v>11</v>
      </c>
      <c r="E14" s="109">
        <v>1</v>
      </c>
      <c r="F14" s="109">
        <v>78.31</v>
      </c>
      <c r="G14" s="108">
        <f t="shared" si="0"/>
        <v>78.31</v>
      </c>
      <c r="H14" s="108">
        <v>172.76</v>
      </c>
      <c r="I14" s="108">
        <f t="shared" si="1"/>
        <v>172.76</v>
      </c>
      <c r="J14" s="108">
        <f t="shared" si="2"/>
        <v>251.07</v>
      </c>
      <c r="L14" s="124"/>
      <c r="M14" s="124" t="s">
        <v>172</v>
      </c>
      <c r="N14" s="124" t="s">
        <v>11</v>
      </c>
      <c r="O14" s="124">
        <v>1</v>
      </c>
      <c r="P14" s="124">
        <v>78.31</v>
      </c>
      <c r="Q14" s="231">
        <f t="shared" si="3"/>
        <v>78.31</v>
      </c>
      <c r="R14" s="231">
        <v>172.76</v>
      </c>
      <c r="S14" s="231">
        <f t="shared" si="4"/>
        <v>172.76</v>
      </c>
      <c r="T14" s="231">
        <f t="shared" si="5"/>
        <v>251.07</v>
      </c>
      <c r="U14" s="232"/>
    </row>
    <row r="15" spans="2:21" x14ac:dyDescent="0.25">
      <c r="B15" s="109"/>
      <c r="C15" s="109" t="s">
        <v>171</v>
      </c>
      <c r="D15" s="109" t="s">
        <v>8</v>
      </c>
      <c r="E15" s="109">
        <v>1</v>
      </c>
      <c r="F15" s="109">
        <v>169.3</v>
      </c>
      <c r="G15" s="108">
        <f t="shared" si="0"/>
        <v>169.3</v>
      </c>
      <c r="H15" s="108">
        <v>172.75</v>
      </c>
      <c r="I15" s="108">
        <f t="shared" si="1"/>
        <v>172.75</v>
      </c>
      <c r="J15" s="108">
        <f t="shared" si="2"/>
        <v>342.05</v>
      </c>
      <c r="L15" s="124"/>
      <c r="M15" s="124" t="s">
        <v>171</v>
      </c>
      <c r="N15" s="124" t="s">
        <v>8</v>
      </c>
      <c r="O15" s="124">
        <v>1</v>
      </c>
      <c r="P15" s="124">
        <v>169.3</v>
      </c>
      <c r="Q15" s="231">
        <f t="shared" si="3"/>
        <v>169.3</v>
      </c>
      <c r="R15" s="231">
        <v>172.75</v>
      </c>
      <c r="S15" s="231">
        <f t="shared" si="4"/>
        <v>172.75</v>
      </c>
      <c r="T15" s="231">
        <f t="shared" si="5"/>
        <v>342.05</v>
      </c>
      <c r="U15" s="232"/>
    </row>
    <row r="16" spans="2:21" x14ac:dyDescent="0.25">
      <c r="B16" s="110" t="s">
        <v>170</v>
      </c>
      <c r="C16" s="110"/>
      <c r="D16" s="110"/>
      <c r="E16" s="110"/>
      <c r="F16" s="109"/>
      <c r="G16" s="108"/>
      <c r="H16" s="108"/>
      <c r="I16" s="108"/>
      <c r="J16" s="108"/>
      <c r="L16" s="233" t="s">
        <v>170</v>
      </c>
      <c r="M16" s="233"/>
      <c r="N16" s="233"/>
      <c r="O16" s="233"/>
      <c r="P16" s="124"/>
      <c r="Q16" s="231"/>
      <c r="R16" s="231"/>
      <c r="S16" s="231"/>
      <c r="T16" s="231"/>
      <c r="U16" s="232"/>
    </row>
    <row r="17" spans="2:21" x14ac:dyDescent="0.25">
      <c r="B17" s="109"/>
      <c r="C17" s="109" t="s">
        <v>169</v>
      </c>
      <c r="D17" s="109" t="s">
        <v>7</v>
      </c>
      <c r="E17" s="109">
        <v>15</v>
      </c>
      <c r="F17" s="109">
        <v>0</v>
      </c>
      <c r="G17" s="108">
        <f>F17*E17</f>
        <v>0</v>
      </c>
      <c r="H17" s="108">
        <v>460.67</v>
      </c>
      <c r="I17" s="108">
        <f>H17*E17</f>
        <v>6910.05</v>
      </c>
      <c r="J17" s="108">
        <f>G17+I17</f>
        <v>6910.05</v>
      </c>
      <c r="L17" s="124"/>
      <c r="M17" s="124" t="s">
        <v>169</v>
      </c>
      <c r="N17" s="124" t="s">
        <v>7</v>
      </c>
      <c r="O17" s="124">
        <v>15</v>
      </c>
      <c r="P17" s="124">
        <v>0</v>
      </c>
      <c r="Q17" s="231">
        <f>P17*O17</f>
        <v>0</v>
      </c>
      <c r="R17" s="231">
        <v>460.67</v>
      </c>
      <c r="S17" s="231">
        <f>R17*O17</f>
        <v>6910.05</v>
      </c>
      <c r="T17" s="231">
        <f>Q17+S17</f>
        <v>6910.05</v>
      </c>
      <c r="U17" s="232"/>
    </row>
    <row r="18" spans="2:21" x14ac:dyDescent="0.25">
      <c r="B18" s="109"/>
      <c r="C18" s="109" t="s">
        <v>168</v>
      </c>
      <c r="D18" s="109" t="s">
        <v>6</v>
      </c>
      <c r="E18" s="109">
        <v>0.6</v>
      </c>
      <c r="F18" s="109">
        <v>57.58</v>
      </c>
      <c r="G18" s="108">
        <f>F18*E18</f>
        <v>34.547999999999995</v>
      </c>
      <c r="H18" s="108">
        <v>34.549999999999997</v>
      </c>
      <c r="I18" s="108">
        <f>H18*E18</f>
        <v>20.729999999999997</v>
      </c>
      <c r="J18" s="108">
        <f>G18+I18</f>
        <v>55.277999999999992</v>
      </c>
      <c r="L18" s="124"/>
      <c r="M18" s="124" t="s">
        <v>168</v>
      </c>
      <c r="N18" s="124" t="s">
        <v>6</v>
      </c>
      <c r="O18" s="124">
        <v>0.6</v>
      </c>
      <c r="P18" s="124">
        <v>57.58</v>
      </c>
      <c r="Q18" s="231">
        <f>P18*O18</f>
        <v>34.547999999999995</v>
      </c>
      <c r="R18" s="231">
        <v>34.549999999999997</v>
      </c>
      <c r="S18" s="231">
        <f>R18*O18</f>
        <v>20.729999999999997</v>
      </c>
      <c r="T18" s="231">
        <f>Q18+S18</f>
        <v>55.277999999999992</v>
      </c>
      <c r="U18" s="232"/>
    </row>
    <row r="19" spans="2:21" x14ac:dyDescent="0.25">
      <c r="B19" s="109"/>
      <c r="C19" s="109" t="s">
        <v>167</v>
      </c>
      <c r="D19" s="109" t="s">
        <v>166</v>
      </c>
      <c r="E19" s="109">
        <v>15</v>
      </c>
      <c r="F19" s="109">
        <v>0</v>
      </c>
      <c r="G19" s="108"/>
      <c r="H19" s="108">
        <v>287.92</v>
      </c>
      <c r="I19" s="108">
        <f>H19*E19</f>
        <v>4318.8</v>
      </c>
      <c r="J19" s="108">
        <f>G19+I19</f>
        <v>4318.8</v>
      </c>
      <c r="L19" s="124"/>
      <c r="M19" s="124" t="s">
        <v>167</v>
      </c>
      <c r="N19" s="124" t="s">
        <v>166</v>
      </c>
      <c r="O19" s="124">
        <v>15</v>
      </c>
      <c r="P19" s="124">
        <v>0</v>
      </c>
      <c r="Q19" s="231"/>
      <c r="R19" s="231">
        <v>287.92</v>
      </c>
      <c r="S19" s="231">
        <f>R19*O19</f>
        <v>4318.8</v>
      </c>
      <c r="T19" s="231">
        <f>Q19+S19</f>
        <v>4318.8</v>
      </c>
      <c r="U19" s="232"/>
    </row>
    <row r="20" spans="2:21" x14ac:dyDescent="0.25">
      <c r="B20" s="110" t="s">
        <v>165</v>
      </c>
      <c r="C20" s="110"/>
      <c r="D20" s="110"/>
      <c r="E20" s="110"/>
      <c r="F20" s="109"/>
      <c r="G20" s="108"/>
      <c r="H20" s="108"/>
      <c r="I20" s="108"/>
      <c r="J20" s="108"/>
      <c r="L20" s="233" t="s">
        <v>165</v>
      </c>
      <c r="M20" s="233"/>
      <c r="N20" s="233"/>
      <c r="O20" s="233"/>
      <c r="P20" s="124"/>
      <c r="Q20" s="231"/>
      <c r="R20" s="231"/>
      <c r="S20" s="231"/>
      <c r="T20" s="231"/>
      <c r="U20" s="232"/>
    </row>
    <row r="21" spans="2:21" x14ac:dyDescent="0.25">
      <c r="B21" s="109"/>
      <c r="C21" s="109" t="s">
        <v>164</v>
      </c>
      <c r="D21" s="109" t="s">
        <v>11</v>
      </c>
      <c r="E21" s="109">
        <v>1</v>
      </c>
      <c r="F21" s="109">
        <v>2303.35</v>
      </c>
      <c r="G21" s="108">
        <f>F21*E21</f>
        <v>2303.35</v>
      </c>
      <c r="H21" s="108">
        <v>0</v>
      </c>
      <c r="I21" s="108">
        <f t="shared" ref="I21:I24" si="6">H21*E21</f>
        <v>0</v>
      </c>
      <c r="J21" s="108">
        <f>G21+I21</f>
        <v>2303.35</v>
      </c>
      <c r="L21" s="124"/>
      <c r="M21" s="124" t="s">
        <v>164</v>
      </c>
      <c r="N21" s="124" t="s">
        <v>11</v>
      </c>
      <c r="O21" s="124">
        <v>1</v>
      </c>
      <c r="P21" s="124">
        <v>2303.35</v>
      </c>
      <c r="Q21" s="231">
        <f>P21*O21</f>
        <v>2303.35</v>
      </c>
      <c r="R21" s="231">
        <v>0</v>
      </c>
      <c r="S21" s="231">
        <f t="shared" ref="S21:S24" si="7">R21*O21</f>
        <v>0</v>
      </c>
      <c r="T21" s="231">
        <f>Q21+S21</f>
        <v>2303.35</v>
      </c>
      <c r="U21" s="232"/>
    </row>
    <row r="22" spans="2:21" x14ac:dyDescent="0.25">
      <c r="B22" s="109"/>
      <c r="C22" s="109" t="s">
        <v>163</v>
      </c>
      <c r="D22" s="109" t="s">
        <v>11</v>
      </c>
      <c r="E22" s="109">
        <v>1</v>
      </c>
      <c r="F22" s="109">
        <v>2073.02</v>
      </c>
      <c r="G22" s="108">
        <f>F22*E22</f>
        <v>2073.02</v>
      </c>
      <c r="H22" s="108">
        <v>2303.35</v>
      </c>
      <c r="I22" s="108">
        <f t="shared" si="6"/>
        <v>2303.35</v>
      </c>
      <c r="J22" s="108">
        <f>G22+I22</f>
        <v>4376.37</v>
      </c>
      <c r="L22" s="124"/>
      <c r="M22" s="124" t="s">
        <v>163</v>
      </c>
      <c r="N22" s="124" t="s">
        <v>11</v>
      </c>
      <c r="O22" s="124">
        <v>1</v>
      </c>
      <c r="P22" s="124">
        <v>2073.02</v>
      </c>
      <c r="Q22" s="231">
        <f>P22*O22</f>
        <v>2073.02</v>
      </c>
      <c r="R22" s="231">
        <v>2303.35</v>
      </c>
      <c r="S22" s="231">
        <f t="shared" si="7"/>
        <v>2303.35</v>
      </c>
      <c r="T22" s="231">
        <f>Q22+S22</f>
        <v>4376.37</v>
      </c>
      <c r="U22" s="232"/>
    </row>
    <row r="23" spans="2:21" x14ac:dyDescent="0.25">
      <c r="B23" s="109"/>
      <c r="C23" s="109" t="s">
        <v>162</v>
      </c>
      <c r="D23" s="109" t="s">
        <v>11</v>
      </c>
      <c r="E23" s="109">
        <v>1</v>
      </c>
      <c r="F23" s="109">
        <v>9213.41</v>
      </c>
      <c r="G23" s="108">
        <f>F23*E23</f>
        <v>9213.41</v>
      </c>
      <c r="H23" s="108">
        <v>0</v>
      </c>
      <c r="I23" s="108">
        <f t="shared" si="6"/>
        <v>0</v>
      </c>
      <c r="J23" s="108">
        <f>G23+I23</f>
        <v>9213.41</v>
      </c>
      <c r="L23" s="124"/>
      <c r="M23" s="124" t="s">
        <v>162</v>
      </c>
      <c r="N23" s="124" t="s">
        <v>11</v>
      </c>
      <c r="O23" s="124">
        <v>1</v>
      </c>
      <c r="P23" s="124">
        <v>9213.41</v>
      </c>
      <c r="Q23" s="231">
        <f>P23*O23</f>
        <v>9213.41</v>
      </c>
      <c r="R23" s="231">
        <v>0</v>
      </c>
      <c r="S23" s="231">
        <f t="shared" si="7"/>
        <v>0</v>
      </c>
      <c r="T23" s="231">
        <f>Q23+S23</f>
        <v>9213.41</v>
      </c>
      <c r="U23" s="232"/>
    </row>
    <row r="24" spans="2:21" x14ac:dyDescent="0.25">
      <c r="B24" s="109"/>
      <c r="C24" s="109" t="s">
        <v>161</v>
      </c>
      <c r="D24" s="109" t="s">
        <v>11</v>
      </c>
      <c r="E24" s="109">
        <v>1</v>
      </c>
      <c r="F24" s="109">
        <v>5758.38</v>
      </c>
      <c r="G24" s="108">
        <f>F24*E24</f>
        <v>5758.38</v>
      </c>
      <c r="H24" s="108">
        <v>0</v>
      </c>
      <c r="I24" s="108">
        <f t="shared" si="6"/>
        <v>0</v>
      </c>
      <c r="J24" s="108">
        <f>G24+I24</f>
        <v>5758.38</v>
      </c>
      <c r="L24" s="124"/>
      <c r="M24" s="124" t="s">
        <v>161</v>
      </c>
      <c r="N24" s="124" t="s">
        <v>11</v>
      </c>
      <c r="O24" s="124">
        <v>1</v>
      </c>
      <c r="P24" s="124">
        <v>5758.38</v>
      </c>
      <c r="Q24" s="231">
        <f>P24*O24</f>
        <v>5758.38</v>
      </c>
      <c r="R24" s="231">
        <v>0</v>
      </c>
      <c r="S24" s="231">
        <f t="shared" si="7"/>
        <v>0</v>
      </c>
      <c r="T24" s="231">
        <f>Q24+S24</f>
        <v>5758.38</v>
      </c>
      <c r="U24" s="232"/>
    </row>
    <row r="25" spans="2:21" x14ac:dyDescent="0.25">
      <c r="L25" s="232"/>
      <c r="M25" s="232"/>
      <c r="N25" s="232"/>
      <c r="O25" s="232"/>
      <c r="P25" s="232"/>
      <c r="Q25" s="234"/>
      <c r="R25" s="234"/>
      <c r="S25" s="234"/>
      <c r="T25" s="234"/>
      <c r="U25" s="232"/>
    </row>
    <row r="26" spans="2:21" x14ac:dyDescent="0.25">
      <c r="L26" s="232"/>
      <c r="M26" s="232"/>
      <c r="N26" s="232"/>
      <c r="O26" s="232"/>
      <c r="P26" s="232"/>
      <c r="Q26" s="234"/>
      <c r="R26" s="234"/>
      <c r="S26" s="234"/>
      <c r="T26" s="234"/>
      <c r="U26" s="232"/>
    </row>
    <row r="27" spans="2:21" x14ac:dyDescent="0.25">
      <c r="B27" s="109" t="s">
        <v>236</v>
      </c>
      <c r="C27" s="109"/>
      <c r="D27" s="109"/>
      <c r="E27" s="109"/>
      <c r="L27" s="124" t="s">
        <v>236</v>
      </c>
      <c r="M27" s="124"/>
      <c r="N27" s="124"/>
      <c r="O27" s="124"/>
      <c r="P27" s="232"/>
      <c r="Q27" s="234"/>
      <c r="R27" s="234"/>
      <c r="S27" s="234"/>
      <c r="T27" s="234"/>
      <c r="U27" s="232"/>
    </row>
    <row r="28" spans="2:21" x14ac:dyDescent="0.25">
      <c r="B28" s="116" t="s">
        <v>235</v>
      </c>
      <c r="C28" s="116"/>
      <c r="D28" s="116"/>
      <c r="E28" s="116"/>
      <c r="F28" s="108" t="s">
        <v>185</v>
      </c>
      <c r="G28" s="108" t="s">
        <v>184</v>
      </c>
      <c r="H28" s="108" t="s">
        <v>183</v>
      </c>
      <c r="I28" s="108" t="s">
        <v>182</v>
      </c>
      <c r="J28" s="108" t="s">
        <v>10</v>
      </c>
      <c r="L28" s="144" t="s">
        <v>235</v>
      </c>
      <c r="M28" s="144"/>
      <c r="N28" s="144"/>
      <c r="O28" s="144"/>
      <c r="P28" s="231" t="s">
        <v>185</v>
      </c>
      <c r="Q28" s="231" t="s">
        <v>184</v>
      </c>
      <c r="R28" s="231" t="s">
        <v>183</v>
      </c>
      <c r="S28" s="231" t="s">
        <v>182</v>
      </c>
      <c r="T28" s="231" t="s">
        <v>10</v>
      </c>
      <c r="U28" s="232"/>
    </row>
    <row r="29" spans="2:21" x14ac:dyDescent="0.25">
      <c r="B29" s="109"/>
      <c r="C29" s="109" t="s">
        <v>234</v>
      </c>
      <c r="D29" s="109" t="s">
        <v>8</v>
      </c>
      <c r="E29" s="117">
        <v>1</v>
      </c>
      <c r="F29" s="115">
        <v>302066.15999999997</v>
      </c>
      <c r="G29" s="115">
        <f>F29*E29</f>
        <v>302066.15999999997</v>
      </c>
      <c r="H29" s="115">
        <v>6910.06</v>
      </c>
      <c r="I29" s="115">
        <f>H29*E29</f>
        <v>6910.06</v>
      </c>
      <c r="J29" s="115">
        <f>G29+I29</f>
        <v>308976.21999999997</v>
      </c>
      <c r="L29" s="124"/>
      <c r="M29" s="124" t="s">
        <v>234</v>
      </c>
      <c r="N29" s="124" t="s">
        <v>8</v>
      </c>
      <c r="O29" s="126">
        <v>1</v>
      </c>
      <c r="P29" s="235">
        <v>302066.15999999997</v>
      </c>
      <c r="Q29" s="235">
        <f>P29*O29</f>
        <v>302066.15999999997</v>
      </c>
      <c r="R29" s="235">
        <v>6910.06</v>
      </c>
      <c r="S29" s="235">
        <f>R29*O29</f>
        <v>6910.06</v>
      </c>
      <c r="T29" s="235">
        <f>Q29+S29</f>
        <v>308976.21999999997</v>
      </c>
      <c r="U29" s="232"/>
    </row>
    <row r="30" spans="2:21" x14ac:dyDescent="0.25">
      <c r="B30" s="109"/>
      <c r="C30" s="109" t="s">
        <v>233</v>
      </c>
      <c r="D30" s="109" t="s">
        <v>8</v>
      </c>
      <c r="E30" s="117">
        <v>1</v>
      </c>
      <c r="F30" s="115">
        <v>2005.07</v>
      </c>
      <c r="G30" s="115">
        <f>F30*E30</f>
        <v>2005.07</v>
      </c>
      <c r="H30" s="115">
        <v>1036.51</v>
      </c>
      <c r="I30" s="115">
        <f>H30*E30</f>
        <v>1036.51</v>
      </c>
      <c r="J30" s="115">
        <f>G30+I30</f>
        <v>3041.58</v>
      </c>
      <c r="L30" s="124"/>
      <c r="M30" s="124" t="s">
        <v>233</v>
      </c>
      <c r="N30" s="124" t="s">
        <v>8</v>
      </c>
      <c r="O30" s="126">
        <v>1</v>
      </c>
      <c r="P30" s="235">
        <v>2005.07</v>
      </c>
      <c r="Q30" s="235">
        <f>P30*O30</f>
        <v>2005.07</v>
      </c>
      <c r="R30" s="235">
        <v>1036.51</v>
      </c>
      <c r="S30" s="235">
        <f>R30*O30</f>
        <v>1036.51</v>
      </c>
      <c r="T30" s="235">
        <f>Q30+S30</f>
        <v>3041.58</v>
      </c>
      <c r="U30" s="232"/>
    </row>
    <row r="31" spans="2:21" x14ac:dyDescent="0.25">
      <c r="B31" s="109"/>
      <c r="C31" s="109" t="s">
        <v>232</v>
      </c>
      <c r="D31" s="109" t="s">
        <v>8</v>
      </c>
      <c r="E31" s="117">
        <v>1</v>
      </c>
      <c r="F31" s="115">
        <v>2628.12</v>
      </c>
      <c r="G31" s="115">
        <f>F31*E31</f>
        <v>2628.12</v>
      </c>
      <c r="H31" s="115">
        <v>1382.01</v>
      </c>
      <c r="I31" s="115">
        <f>H31*E31</f>
        <v>1382.01</v>
      </c>
      <c r="J31" s="115">
        <f>G31+I31</f>
        <v>4010.13</v>
      </c>
      <c r="L31" s="124"/>
      <c r="M31" s="124" t="s">
        <v>232</v>
      </c>
      <c r="N31" s="124" t="s">
        <v>8</v>
      </c>
      <c r="O31" s="126">
        <v>1</v>
      </c>
      <c r="P31" s="235">
        <v>2628.12</v>
      </c>
      <c r="Q31" s="235">
        <f>P31*O31</f>
        <v>2628.12</v>
      </c>
      <c r="R31" s="235">
        <v>1382.01</v>
      </c>
      <c r="S31" s="235">
        <f>R31*O31</f>
        <v>1382.01</v>
      </c>
      <c r="T31" s="235">
        <f>Q31+S31</f>
        <v>4010.13</v>
      </c>
      <c r="U31" s="232"/>
    </row>
    <row r="32" spans="2:21" x14ac:dyDescent="0.25">
      <c r="B32" s="109"/>
      <c r="C32" s="109"/>
      <c r="D32" s="109"/>
      <c r="E32" s="117"/>
      <c r="F32" s="115"/>
      <c r="G32" s="115"/>
      <c r="H32" s="115"/>
      <c r="I32" s="115"/>
      <c r="J32" s="115"/>
      <c r="L32" s="124"/>
      <c r="M32" s="124"/>
      <c r="N32" s="124"/>
      <c r="O32" s="126"/>
      <c r="P32" s="235"/>
      <c r="Q32" s="235"/>
      <c r="R32" s="235"/>
      <c r="S32" s="235"/>
      <c r="T32" s="235"/>
      <c r="U32" s="232"/>
    </row>
    <row r="33" spans="2:21" x14ac:dyDescent="0.25">
      <c r="B33" s="116" t="s">
        <v>231</v>
      </c>
      <c r="C33" s="116"/>
      <c r="D33" s="116"/>
      <c r="E33" s="118"/>
      <c r="F33" s="115"/>
      <c r="G33" s="115"/>
      <c r="H33" s="115"/>
      <c r="I33" s="115"/>
      <c r="J33" s="115"/>
      <c r="L33" s="144" t="s">
        <v>231</v>
      </c>
      <c r="M33" s="144"/>
      <c r="N33" s="144"/>
      <c r="O33" s="236"/>
      <c r="P33" s="235"/>
      <c r="Q33" s="235"/>
      <c r="R33" s="235"/>
      <c r="S33" s="235"/>
      <c r="T33" s="235"/>
      <c r="U33" s="232"/>
    </row>
    <row r="34" spans="2:21" x14ac:dyDescent="0.25">
      <c r="B34" s="109"/>
      <c r="C34" s="109" t="s">
        <v>230</v>
      </c>
      <c r="D34" s="109" t="s">
        <v>7</v>
      </c>
      <c r="E34" s="117">
        <v>125</v>
      </c>
      <c r="F34" s="115">
        <v>34.549999999999997</v>
      </c>
      <c r="G34" s="115">
        <f>F34*E34</f>
        <v>4318.75</v>
      </c>
      <c r="H34" s="115">
        <v>43.76</v>
      </c>
      <c r="I34" s="115">
        <f>H34*E34</f>
        <v>5470</v>
      </c>
      <c r="J34" s="115">
        <f>I34+G34</f>
        <v>9788.75</v>
      </c>
      <c r="L34" s="124"/>
      <c r="M34" s="124" t="s">
        <v>230</v>
      </c>
      <c r="N34" s="124" t="s">
        <v>7</v>
      </c>
      <c r="O34" s="126">
        <v>125</v>
      </c>
      <c r="P34" s="235">
        <v>34.549999999999997</v>
      </c>
      <c r="Q34" s="235">
        <f>P34*O34</f>
        <v>4318.75</v>
      </c>
      <c r="R34" s="235">
        <v>43.76</v>
      </c>
      <c r="S34" s="235">
        <f>R34*O34</f>
        <v>5470</v>
      </c>
      <c r="T34" s="235">
        <f>S34+Q34</f>
        <v>9788.75</v>
      </c>
      <c r="U34" s="232"/>
    </row>
    <row r="35" spans="2:21" x14ac:dyDescent="0.25">
      <c r="B35" s="109"/>
      <c r="C35" s="125" t="s">
        <v>259</v>
      </c>
      <c r="D35" s="125" t="s">
        <v>7</v>
      </c>
      <c r="E35" s="127">
        <v>60</v>
      </c>
      <c r="F35" s="237">
        <v>67.95</v>
      </c>
      <c r="G35" s="237">
        <f>F35*E35</f>
        <v>4077</v>
      </c>
      <c r="H35" s="237">
        <v>61.04</v>
      </c>
      <c r="I35" s="237">
        <f>H35*E35</f>
        <v>3662.4</v>
      </c>
      <c r="J35" s="237">
        <f>I35+G35</f>
        <v>7739.4</v>
      </c>
      <c r="L35" s="124"/>
      <c r="M35" s="125" t="s">
        <v>259</v>
      </c>
      <c r="N35" s="125" t="s">
        <v>7</v>
      </c>
      <c r="O35" s="127">
        <v>60</v>
      </c>
      <c r="P35" s="237">
        <v>67.95</v>
      </c>
      <c r="Q35" s="237">
        <f>P35*O35</f>
        <v>4077</v>
      </c>
      <c r="R35" s="237">
        <v>61.04</v>
      </c>
      <c r="S35" s="237">
        <f>R35*O35</f>
        <v>3662.4</v>
      </c>
      <c r="T35" s="237">
        <f>S35+Q35</f>
        <v>7739.4</v>
      </c>
      <c r="U35" s="232"/>
    </row>
    <row r="36" spans="2:21" x14ac:dyDescent="0.25">
      <c r="B36" s="109"/>
      <c r="C36" s="125" t="s">
        <v>260</v>
      </c>
      <c r="D36" s="125" t="s">
        <v>196</v>
      </c>
      <c r="E36" s="127">
        <v>1</v>
      </c>
      <c r="F36" s="237">
        <v>310.95</v>
      </c>
      <c r="G36" s="237">
        <f>F36*E36</f>
        <v>310.95</v>
      </c>
      <c r="H36" s="237">
        <v>518.26</v>
      </c>
      <c r="I36" s="237">
        <f>H36*E36</f>
        <v>518.26</v>
      </c>
      <c r="J36" s="237">
        <f>I36+G36</f>
        <v>829.21</v>
      </c>
      <c r="L36" s="124"/>
      <c r="M36" s="125" t="s">
        <v>260</v>
      </c>
      <c r="N36" s="125" t="s">
        <v>196</v>
      </c>
      <c r="O36" s="127">
        <v>1</v>
      </c>
      <c r="P36" s="237">
        <v>310.95</v>
      </c>
      <c r="Q36" s="237">
        <f>P36*O36</f>
        <v>310.95</v>
      </c>
      <c r="R36" s="237">
        <v>518.26</v>
      </c>
      <c r="S36" s="237">
        <f>R36*O36</f>
        <v>518.26</v>
      </c>
      <c r="T36" s="237">
        <f>S36+Q36</f>
        <v>829.21</v>
      </c>
      <c r="U36" s="232"/>
    </row>
    <row r="37" spans="2:21" x14ac:dyDescent="0.25">
      <c r="B37" s="109"/>
      <c r="C37" s="109"/>
      <c r="D37" s="109"/>
      <c r="E37" s="117"/>
      <c r="F37" s="115"/>
      <c r="G37" s="115"/>
      <c r="H37" s="115"/>
      <c r="I37" s="115"/>
      <c r="J37" s="115"/>
      <c r="L37" s="124"/>
      <c r="M37" s="124"/>
      <c r="N37" s="124"/>
      <c r="O37" s="126"/>
      <c r="P37" s="235"/>
      <c r="Q37" s="235"/>
      <c r="R37" s="235"/>
      <c r="S37" s="235"/>
      <c r="T37" s="235"/>
      <c r="U37" s="232"/>
    </row>
    <row r="38" spans="2:21" x14ac:dyDescent="0.25">
      <c r="B38" s="116" t="s">
        <v>229</v>
      </c>
      <c r="C38" s="116"/>
      <c r="D38" s="116"/>
      <c r="E38" s="118"/>
      <c r="F38" s="115"/>
      <c r="G38" s="115"/>
      <c r="H38" s="115"/>
      <c r="I38" s="115"/>
      <c r="J38" s="115"/>
      <c r="L38" s="144" t="s">
        <v>229</v>
      </c>
      <c r="M38" s="144"/>
      <c r="N38" s="144"/>
      <c r="O38" s="236"/>
      <c r="P38" s="235"/>
      <c r="Q38" s="235"/>
      <c r="R38" s="235"/>
      <c r="S38" s="235"/>
      <c r="T38" s="235"/>
      <c r="U38" s="232"/>
    </row>
    <row r="39" spans="2:21" x14ac:dyDescent="0.25">
      <c r="B39" s="110" t="s">
        <v>228</v>
      </c>
      <c r="C39" s="109" t="s">
        <v>227</v>
      </c>
      <c r="D39" s="109" t="s">
        <v>7</v>
      </c>
      <c r="E39" s="117">
        <v>6</v>
      </c>
      <c r="F39" s="115">
        <v>237.25</v>
      </c>
      <c r="G39" s="115">
        <f t="shared" ref="G39:G42" si="8">F39*E39</f>
        <v>1423.5</v>
      </c>
      <c r="H39" s="115">
        <v>28.79</v>
      </c>
      <c r="I39" s="115">
        <f t="shared" ref="I39:I42" si="9">H39*E39</f>
        <v>172.74</v>
      </c>
      <c r="J39" s="115">
        <f t="shared" ref="J39:J42" si="10">I39+G39</f>
        <v>1596.24</v>
      </c>
      <c r="L39" s="233" t="s">
        <v>228</v>
      </c>
      <c r="M39" s="124" t="s">
        <v>227</v>
      </c>
      <c r="N39" s="124" t="s">
        <v>7</v>
      </c>
      <c r="O39" s="126">
        <v>6</v>
      </c>
      <c r="P39" s="235">
        <v>237.25</v>
      </c>
      <c r="Q39" s="235">
        <f t="shared" ref="Q39:Q42" si="11">P39*O39</f>
        <v>1423.5</v>
      </c>
      <c r="R39" s="235">
        <v>28.79</v>
      </c>
      <c r="S39" s="235">
        <f t="shared" ref="S39:S42" si="12">R39*O39</f>
        <v>172.74</v>
      </c>
      <c r="T39" s="235">
        <f t="shared" ref="T39:T42" si="13">S39+Q39</f>
        <v>1596.24</v>
      </c>
      <c r="U39" s="232"/>
    </row>
    <row r="40" spans="2:21" x14ac:dyDescent="0.25">
      <c r="B40" s="109"/>
      <c r="C40" s="109" t="s">
        <v>226</v>
      </c>
      <c r="D40" s="124" t="s">
        <v>7</v>
      </c>
      <c r="E40" s="132">
        <v>120</v>
      </c>
      <c r="F40" s="115">
        <v>17.28</v>
      </c>
      <c r="G40" s="115">
        <f t="shared" si="8"/>
        <v>2073.6000000000004</v>
      </c>
      <c r="H40" s="115">
        <v>39.15</v>
      </c>
      <c r="I40" s="115">
        <f t="shared" si="9"/>
        <v>4698</v>
      </c>
      <c r="J40" s="115">
        <f t="shared" si="10"/>
        <v>6771.6</v>
      </c>
      <c r="L40" s="124"/>
      <c r="M40" s="124" t="s">
        <v>226</v>
      </c>
      <c r="N40" s="124" t="s">
        <v>7</v>
      </c>
      <c r="O40" s="126">
        <v>85</v>
      </c>
      <c r="P40" s="235">
        <v>17.28</v>
      </c>
      <c r="Q40" s="235">
        <f t="shared" si="11"/>
        <v>1468.8000000000002</v>
      </c>
      <c r="R40" s="235">
        <v>39.15</v>
      </c>
      <c r="S40" s="235">
        <f t="shared" si="12"/>
        <v>3327.75</v>
      </c>
      <c r="T40" s="235">
        <f t="shared" si="13"/>
        <v>4796.55</v>
      </c>
      <c r="U40" s="232"/>
    </row>
    <row r="41" spans="2:21" x14ac:dyDescent="0.25">
      <c r="B41" s="109"/>
      <c r="C41" s="109" t="s">
        <v>225</v>
      </c>
      <c r="D41" s="124" t="s">
        <v>7</v>
      </c>
      <c r="E41" s="126">
        <v>5</v>
      </c>
      <c r="F41" s="115">
        <v>17.28</v>
      </c>
      <c r="G41" s="115">
        <f t="shared" si="8"/>
        <v>86.4</v>
      </c>
      <c r="H41" s="115">
        <v>39.15</v>
      </c>
      <c r="I41" s="115">
        <f t="shared" si="9"/>
        <v>195.75</v>
      </c>
      <c r="J41" s="115">
        <f t="shared" si="10"/>
        <v>282.14999999999998</v>
      </c>
      <c r="L41" s="124"/>
      <c r="M41" s="124" t="s">
        <v>225</v>
      </c>
      <c r="N41" s="124" t="s">
        <v>7</v>
      </c>
      <c r="O41" s="126">
        <v>5</v>
      </c>
      <c r="P41" s="235">
        <v>17.28</v>
      </c>
      <c r="Q41" s="235">
        <f t="shared" si="11"/>
        <v>86.4</v>
      </c>
      <c r="R41" s="235">
        <v>39.15</v>
      </c>
      <c r="S41" s="235">
        <f t="shared" si="12"/>
        <v>195.75</v>
      </c>
      <c r="T41" s="235">
        <f t="shared" si="13"/>
        <v>282.14999999999998</v>
      </c>
      <c r="U41" s="232"/>
    </row>
    <row r="42" spans="2:21" x14ac:dyDescent="0.25">
      <c r="B42" s="109"/>
      <c r="C42" s="143" t="s">
        <v>224</v>
      </c>
      <c r="D42" s="109" t="s">
        <v>7</v>
      </c>
      <c r="E42" s="117">
        <v>5</v>
      </c>
      <c r="F42" s="115">
        <v>28.79</v>
      </c>
      <c r="G42" s="115">
        <f t="shared" si="8"/>
        <v>143.94999999999999</v>
      </c>
      <c r="H42" s="115">
        <v>39.159999999999997</v>
      </c>
      <c r="I42" s="115">
        <f t="shared" si="9"/>
        <v>195.79999999999998</v>
      </c>
      <c r="J42" s="115">
        <f t="shared" si="10"/>
        <v>339.75</v>
      </c>
      <c r="L42" s="124"/>
      <c r="M42" s="124" t="s">
        <v>224</v>
      </c>
      <c r="N42" s="124" t="s">
        <v>7</v>
      </c>
      <c r="O42" s="126">
        <v>5</v>
      </c>
      <c r="P42" s="235">
        <v>28.79</v>
      </c>
      <c r="Q42" s="235">
        <f t="shared" si="11"/>
        <v>143.94999999999999</v>
      </c>
      <c r="R42" s="235">
        <v>39.159999999999997</v>
      </c>
      <c r="S42" s="235">
        <f t="shared" si="12"/>
        <v>195.79999999999998</v>
      </c>
      <c r="T42" s="235">
        <f t="shared" si="13"/>
        <v>339.75</v>
      </c>
      <c r="U42" s="232"/>
    </row>
    <row r="43" spans="2:21" x14ac:dyDescent="0.25">
      <c r="B43" s="109"/>
      <c r="C43" s="133" t="s">
        <v>317</v>
      </c>
      <c r="D43" s="133" t="s">
        <v>7</v>
      </c>
      <c r="E43" s="132">
        <v>35</v>
      </c>
      <c r="F43" s="134">
        <v>93.570048000000014</v>
      </c>
      <c r="G43" s="134">
        <f t="shared" ref="G43:G47" si="14">F43*E43</f>
        <v>3274.9516800000006</v>
      </c>
      <c r="H43" s="134">
        <v>53.644799999999996</v>
      </c>
      <c r="I43" s="134">
        <f t="shared" ref="I43:I47" si="15">H43*E43</f>
        <v>1877.568</v>
      </c>
      <c r="J43" s="134">
        <f t="shared" ref="J43:J47" si="16">I43+G43</f>
        <v>5152.5196800000003</v>
      </c>
      <c r="L43" s="232"/>
      <c r="M43" s="234"/>
      <c r="N43" s="232"/>
      <c r="O43" s="238"/>
      <c r="P43" s="232"/>
      <c r="Q43" s="232"/>
      <c r="R43" s="232"/>
      <c r="S43" s="232"/>
      <c r="T43" s="232"/>
      <c r="U43" s="232"/>
    </row>
    <row r="44" spans="2:21" x14ac:dyDescent="0.25">
      <c r="B44" s="109"/>
      <c r="C44" s="109" t="s">
        <v>223</v>
      </c>
      <c r="D44" s="109" t="s">
        <v>7</v>
      </c>
      <c r="E44" s="117">
        <v>50</v>
      </c>
      <c r="F44" s="115">
        <v>76.010000000000005</v>
      </c>
      <c r="G44" s="115">
        <f t="shared" si="14"/>
        <v>3800.5000000000005</v>
      </c>
      <c r="H44" s="115">
        <v>43.76</v>
      </c>
      <c r="I44" s="115">
        <f t="shared" si="15"/>
        <v>2188</v>
      </c>
      <c r="J44" s="115">
        <f t="shared" si="16"/>
        <v>5988.5</v>
      </c>
      <c r="L44" s="124"/>
      <c r="M44" s="124" t="s">
        <v>223</v>
      </c>
      <c r="N44" s="124" t="s">
        <v>7</v>
      </c>
      <c r="O44" s="126">
        <v>50</v>
      </c>
      <c r="P44" s="235">
        <v>76.010000000000005</v>
      </c>
      <c r="Q44" s="235">
        <f t="shared" ref="Q44:Q47" si="17">P44*O44</f>
        <v>3800.5000000000005</v>
      </c>
      <c r="R44" s="235">
        <v>43.76</v>
      </c>
      <c r="S44" s="235">
        <f t="shared" ref="S44:S47" si="18">R44*O44</f>
        <v>2188</v>
      </c>
      <c r="T44" s="235">
        <f t="shared" ref="T44:T47" si="19">S44+Q44</f>
        <v>5988.5</v>
      </c>
      <c r="U44" s="232"/>
    </row>
    <row r="45" spans="2:21" x14ac:dyDescent="0.25">
      <c r="B45" s="109"/>
      <c r="C45" s="109" t="s">
        <v>222</v>
      </c>
      <c r="D45" s="109" t="s">
        <v>7</v>
      </c>
      <c r="E45" s="117">
        <v>5</v>
      </c>
      <c r="F45" s="115">
        <v>112.86</v>
      </c>
      <c r="G45" s="115">
        <f t="shared" si="14"/>
        <v>564.29999999999995</v>
      </c>
      <c r="H45" s="115">
        <v>43.77</v>
      </c>
      <c r="I45" s="115">
        <f t="shared" si="15"/>
        <v>218.85000000000002</v>
      </c>
      <c r="J45" s="115">
        <f t="shared" si="16"/>
        <v>783.15</v>
      </c>
      <c r="L45" s="124"/>
      <c r="M45" s="124" t="s">
        <v>222</v>
      </c>
      <c r="N45" s="124" t="s">
        <v>7</v>
      </c>
      <c r="O45" s="126">
        <v>5</v>
      </c>
      <c r="P45" s="235">
        <v>112.86</v>
      </c>
      <c r="Q45" s="235">
        <f t="shared" si="17"/>
        <v>564.29999999999995</v>
      </c>
      <c r="R45" s="235">
        <v>43.77</v>
      </c>
      <c r="S45" s="235">
        <f t="shared" si="18"/>
        <v>218.85000000000002</v>
      </c>
      <c r="T45" s="235">
        <f t="shared" si="19"/>
        <v>783.15</v>
      </c>
      <c r="U45" s="232"/>
    </row>
    <row r="46" spans="2:21" x14ac:dyDescent="0.25">
      <c r="B46" s="109"/>
      <c r="C46" s="109" t="s">
        <v>221</v>
      </c>
      <c r="D46" s="109" t="s">
        <v>7</v>
      </c>
      <c r="E46" s="117">
        <v>30</v>
      </c>
      <c r="F46" s="115">
        <v>26.49</v>
      </c>
      <c r="G46" s="115">
        <f t="shared" si="14"/>
        <v>794.69999999999993</v>
      </c>
      <c r="H46" s="115">
        <v>39.159999999999997</v>
      </c>
      <c r="I46" s="115">
        <f t="shared" si="15"/>
        <v>1174.8</v>
      </c>
      <c r="J46" s="115">
        <f t="shared" si="16"/>
        <v>1969.5</v>
      </c>
      <c r="L46" s="124"/>
      <c r="M46" s="124" t="s">
        <v>221</v>
      </c>
      <c r="N46" s="124" t="s">
        <v>7</v>
      </c>
      <c r="O46" s="126">
        <v>30</v>
      </c>
      <c r="P46" s="235">
        <v>26.49</v>
      </c>
      <c r="Q46" s="235">
        <f t="shared" si="17"/>
        <v>794.69999999999993</v>
      </c>
      <c r="R46" s="235">
        <v>39.159999999999997</v>
      </c>
      <c r="S46" s="235">
        <f t="shared" si="18"/>
        <v>1174.8</v>
      </c>
      <c r="T46" s="235">
        <f t="shared" si="19"/>
        <v>1969.5</v>
      </c>
      <c r="U46" s="232"/>
    </row>
    <row r="47" spans="2:21" x14ac:dyDescent="0.25">
      <c r="B47" s="109"/>
      <c r="C47" s="109" t="s">
        <v>220</v>
      </c>
      <c r="D47" s="109" t="s">
        <v>7</v>
      </c>
      <c r="E47" s="117">
        <v>30</v>
      </c>
      <c r="F47" s="115">
        <v>92.13</v>
      </c>
      <c r="G47" s="115">
        <f t="shared" si="14"/>
        <v>2763.8999999999996</v>
      </c>
      <c r="H47" s="115">
        <v>43.77</v>
      </c>
      <c r="I47" s="115">
        <f t="shared" si="15"/>
        <v>1313.1000000000001</v>
      </c>
      <c r="J47" s="115">
        <f t="shared" si="16"/>
        <v>4077</v>
      </c>
      <c r="L47" s="124"/>
      <c r="M47" s="124" t="s">
        <v>220</v>
      </c>
      <c r="N47" s="124" t="s">
        <v>7</v>
      </c>
      <c r="O47" s="126">
        <v>30</v>
      </c>
      <c r="P47" s="235">
        <v>92.13</v>
      </c>
      <c r="Q47" s="235">
        <f t="shared" si="17"/>
        <v>2763.8999999999996</v>
      </c>
      <c r="R47" s="235">
        <v>43.77</v>
      </c>
      <c r="S47" s="235">
        <f t="shared" si="18"/>
        <v>1313.1000000000001</v>
      </c>
      <c r="T47" s="235">
        <f t="shared" si="19"/>
        <v>4077</v>
      </c>
      <c r="U47" s="232"/>
    </row>
    <row r="48" spans="2:21" x14ac:dyDescent="0.25">
      <c r="B48" s="109"/>
      <c r="C48" s="109"/>
      <c r="D48" s="109"/>
      <c r="E48" s="117"/>
      <c r="F48" s="115"/>
      <c r="G48" s="115"/>
      <c r="H48" s="115"/>
      <c r="I48" s="115"/>
      <c r="J48" s="115"/>
      <c r="L48" s="124"/>
      <c r="M48" s="124"/>
      <c r="N48" s="124"/>
      <c r="O48" s="126"/>
      <c r="P48" s="235"/>
      <c r="Q48" s="235"/>
      <c r="R48" s="235"/>
      <c r="S48" s="235"/>
      <c r="T48" s="235"/>
      <c r="U48" s="232"/>
    </row>
    <row r="49" spans="2:21" x14ac:dyDescent="0.25">
      <c r="B49" s="110" t="s">
        <v>219</v>
      </c>
      <c r="C49" s="109" t="s">
        <v>218</v>
      </c>
      <c r="D49" s="109" t="s">
        <v>7</v>
      </c>
      <c r="E49" s="117">
        <v>10</v>
      </c>
      <c r="F49" s="115">
        <v>12.67</v>
      </c>
      <c r="G49" s="115">
        <f>F49*E49</f>
        <v>126.7</v>
      </c>
      <c r="H49" s="115">
        <v>18.43</v>
      </c>
      <c r="I49" s="115">
        <f>H49*E49</f>
        <v>184.3</v>
      </c>
      <c r="J49" s="115">
        <f>I49+G49</f>
        <v>311</v>
      </c>
      <c r="L49" s="233" t="s">
        <v>219</v>
      </c>
      <c r="M49" s="124" t="s">
        <v>218</v>
      </c>
      <c r="N49" s="124" t="s">
        <v>7</v>
      </c>
      <c r="O49" s="126">
        <v>10</v>
      </c>
      <c r="P49" s="235">
        <v>12.67</v>
      </c>
      <c r="Q49" s="235">
        <f>P49*O49</f>
        <v>126.7</v>
      </c>
      <c r="R49" s="235">
        <v>18.43</v>
      </c>
      <c r="S49" s="235">
        <f>R49*O49</f>
        <v>184.3</v>
      </c>
      <c r="T49" s="235">
        <f>S49+Q49</f>
        <v>311</v>
      </c>
      <c r="U49" s="232"/>
    </row>
    <row r="50" spans="2:21" x14ac:dyDescent="0.25">
      <c r="B50" s="109"/>
      <c r="C50" s="109" t="s">
        <v>217</v>
      </c>
      <c r="D50" s="109" t="s">
        <v>7</v>
      </c>
      <c r="E50" s="126">
        <v>75</v>
      </c>
      <c r="F50" s="115">
        <v>20.73</v>
      </c>
      <c r="G50" s="115">
        <f>F50*E50</f>
        <v>1554.75</v>
      </c>
      <c r="H50" s="115">
        <v>18.43</v>
      </c>
      <c r="I50" s="115">
        <f>H50*E50</f>
        <v>1382.25</v>
      </c>
      <c r="J50" s="115">
        <f>I50+G50</f>
        <v>2937</v>
      </c>
      <c r="L50" s="124"/>
      <c r="M50" s="124" t="s">
        <v>217</v>
      </c>
      <c r="N50" s="124" t="s">
        <v>7</v>
      </c>
      <c r="O50" s="126">
        <v>75</v>
      </c>
      <c r="P50" s="235">
        <v>20.73</v>
      </c>
      <c r="Q50" s="235">
        <f>P50*O50</f>
        <v>1554.75</v>
      </c>
      <c r="R50" s="235">
        <v>18.43</v>
      </c>
      <c r="S50" s="235">
        <f>R50*O50</f>
        <v>1382.25</v>
      </c>
      <c r="T50" s="235">
        <f>S50+Q50</f>
        <v>2937</v>
      </c>
      <c r="U50" s="232"/>
    </row>
    <row r="51" spans="2:21" x14ac:dyDescent="0.25">
      <c r="B51" s="109"/>
      <c r="C51" s="109" t="s">
        <v>216</v>
      </c>
      <c r="D51" s="109" t="s">
        <v>7</v>
      </c>
      <c r="E51" s="117">
        <v>30</v>
      </c>
      <c r="F51" s="115">
        <v>33.4</v>
      </c>
      <c r="G51" s="115">
        <f>F51*E51</f>
        <v>1002</v>
      </c>
      <c r="H51" s="115">
        <v>18.43</v>
      </c>
      <c r="I51" s="115">
        <f>H51*E51</f>
        <v>552.9</v>
      </c>
      <c r="J51" s="115">
        <f>I51+G51</f>
        <v>1554.9</v>
      </c>
      <c r="L51" s="124"/>
      <c r="M51" s="124" t="s">
        <v>216</v>
      </c>
      <c r="N51" s="124" t="s">
        <v>7</v>
      </c>
      <c r="O51" s="126">
        <v>30</v>
      </c>
      <c r="P51" s="235">
        <v>33.4</v>
      </c>
      <c r="Q51" s="235">
        <f>P51*O51</f>
        <v>1002</v>
      </c>
      <c r="R51" s="235">
        <v>18.43</v>
      </c>
      <c r="S51" s="235">
        <f>R51*O51</f>
        <v>552.9</v>
      </c>
      <c r="T51" s="235">
        <f>S51+Q51</f>
        <v>1554.9</v>
      </c>
      <c r="U51" s="232"/>
    </row>
    <row r="52" spans="2:21" x14ac:dyDescent="0.25">
      <c r="B52" s="109"/>
      <c r="C52" s="109"/>
      <c r="D52" s="109"/>
      <c r="E52" s="117"/>
      <c r="F52" s="115"/>
      <c r="G52" s="115"/>
      <c r="H52" s="115"/>
      <c r="I52" s="115"/>
      <c r="J52" s="115"/>
      <c r="L52" s="124"/>
      <c r="M52" s="124"/>
      <c r="N52" s="124"/>
      <c r="O52" s="126"/>
      <c r="P52" s="235"/>
      <c r="Q52" s="235"/>
      <c r="R52" s="235"/>
      <c r="S52" s="235"/>
      <c r="T52" s="235"/>
      <c r="U52" s="232"/>
    </row>
    <row r="53" spans="2:21" x14ac:dyDescent="0.25">
      <c r="B53" s="110" t="s">
        <v>215</v>
      </c>
      <c r="C53" s="109" t="s">
        <v>214</v>
      </c>
      <c r="D53" s="109" t="s">
        <v>7</v>
      </c>
      <c r="E53" s="117">
        <v>25</v>
      </c>
      <c r="F53" s="115">
        <v>64.489999999999995</v>
      </c>
      <c r="G53" s="115">
        <f>F53*E53</f>
        <v>1612.2499999999998</v>
      </c>
      <c r="H53" s="115">
        <v>19.579999999999998</v>
      </c>
      <c r="I53" s="115">
        <f>H53*E53</f>
        <v>489.49999999999994</v>
      </c>
      <c r="J53" s="115">
        <f>I53+G53</f>
        <v>2101.7499999999995</v>
      </c>
      <c r="L53" s="233" t="s">
        <v>215</v>
      </c>
      <c r="M53" s="124" t="s">
        <v>214</v>
      </c>
      <c r="N53" s="124" t="s">
        <v>7</v>
      </c>
      <c r="O53" s="126">
        <v>25</v>
      </c>
      <c r="P53" s="235">
        <v>64.489999999999995</v>
      </c>
      <c r="Q53" s="235">
        <f>P53*O53</f>
        <v>1612.2499999999998</v>
      </c>
      <c r="R53" s="235">
        <v>19.579999999999998</v>
      </c>
      <c r="S53" s="235">
        <f>R53*O53</f>
        <v>489.49999999999994</v>
      </c>
      <c r="T53" s="235">
        <f>S53+Q53</f>
        <v>2101.7499999999995</v>
      </c>
      <c r="U53" s="232"/>
    </row>
    <row r="54" spans="2:21" x14ac:dyDescent="0.25">
      <c r="B54" s="109"/>
      <c r="C54" s="109" t="s">
        <v>213</v>
      </c>
      <c r="D54" s="109" t="s">
        <v>7</v>
      </c>
      <c r="E54" s="117">
        <v>50</v>
      </c>
      <c r="F54" s="115">
        <v>25.34</v>
      </c>
      <c r="G54" s="115">
        <f>F54*E54</f>
        <v>1267</v>
      </c>
      <c r="H54" s="115">
        <v>13.82</v>
      </c>
      <c r="I54" s="115">
        <f>H54*E54</f>
        <v>691</v>
      </c>
      <c r="J54" s="115">
        <f>I54+G54</f>
        <v>1958</v>
      </c>
      <c r="L54" s="124"/>
      <c r="M54" s="124" t="s">
        <v>213</v>
      </c>
      <c r="N54" s="124" t="s">
        <v>7</v>
      </c>
      <c r="O54" s="126">
        <v>50</v>
      </c>
      <c r="P54" s="235">
        <v>25.34</v>
      </c>
      <c r="Q54" s="235">
        <f>P54*O54</f>
        <v>1267</v>
      </c>
      <c r="R54" s="235">
        <v>13.82</v>
      </c>
      <c r="S54" s="235">
        <f>R54*O54</f>
        <v>691</v>
      </c>
      <c r="T54" s="235">
        <f>S54+Q54</f>
        <v>1958</v>
      </c>
      <c r="U54" s="232"/>
    </row>
    <row r="55" spans="2:21" x14ac:dyDescent="0.25">
      <c r="B55" s="109"/>
      <c r="C55" s="109"/>
      <c r="D55" s="109"/>
      <c r="E55" s="117"/>
      <c r="F55" s="115"/>
      <c r="G55" s="115"/>
      <c r="H55" s="115"/>
      <c r="I55" s="115"/>
      <c r="J55" s="115"/>
      <c r="L55" s="124"/>
      <c r="M55" s="124"/>
      <c r="N55" s="124"/>
      <c r="O55" s="126"/>
      <c r="P55" s="235"/>
      <c r="Q55" s="235"/>
      <c r="R55" s="235"/>
      <c r="S55" s="235"/>
      <c r="T55" s="235"/>
      <c r="U55" s="232"/>
    </row>
    <row r="56" spans="2:21" x14ac:dyDescent="0.25">
      <c r="B56" s="116" t="s">
        <v>212</v>
      </c>
      <c r="C56" s="116"/>
      <c r="D56" s="116"/>
      <c r="E56" s="118"/>
      <c r="F56" s="115"/>
      <c r="G56" s="115"/>
      <c r="H56" s="115"/>
      <c r="I56" s="115"/>
      <c r="J56" s="115"/>
      <c r="L56" s="144" t="s">
        <v>212</v>
      </c>
      <c r="M56" s="144"/>
      <c r="N56" s="144"/>
      <c r="O56" s="236"/>
      <c r="P56" s="235"/>
      <c r="Q56" s="235"/>
      <c r="R56" s="235"/>
      <c r="S56" s="235"/>
      <c r="T56" s="235"/>
      <c r="U56" s="232"/>
    </row>
    <row r="57" spans="2:21" x14ac:dyDescent="0.25">
      <c r="B57" s="109"/>
      <c r="C57" s="109" t="s">
        <v>211</v>
      </c>
      <c r="D57" s="109" t="s">
        <v>8</v>
      </c>
      <c r="E57" s="117">
        <v>1</v>
      </c>
      <c r="F57" s="115">
        <v>2066.11</v>
      </c>
      <c r="G57" s="115">
        <f t="shared" ref="G57:G65" si="20">F57*E57</f>
        <v>2066.11</v>
      </c>
      <c r="H57" s="115">
        <v>518.25</v>
      </c>
      <c r="I57" s="115">
        <f t="shared" ref="I57:I65" si="21">H57*E57</f>
        <v>518.25</v>
      </c>
      <c r="J57" s="115">
        <f t="shared" ref="J57:J65" si="22">I57+G57</f>
        <v>2584.36</v>
      </c>
      <c r="L57" s="124"/>
      <c r="M57" s="124" t="s">
        <v>211</v>
      </c>
      <c r="N57" s="124" t="s">
        <v>8</v>
      </c>
      <c r="O57" s="126">
        <v>1</v>
      </c>
      <c r="P57" s="235">
        <v>2066.11</v>
      </c>
      <c r="Q57" s="235">
        <f t="shared" ref="Q57:Q65" si="23">P57*O57</f>
        <v>2066.11</v>
      </c>
      <c r="R57" s="235">
        <v>518.25</v>
      </c>
      <c r="S57" s="235">
        <f t="shared" ref="S57:S65" si="24">R57*O57</f>
        <v>518.25</v>
      </c>
      <c r="T57" s="235">
        <f t="shared" ref="T57:T65" si="25">S57+Q57</f>
        <v>2584.36</v>
      </c>
      <c r="U57" s="232"/>
    </row>
    <row r="58" spans="2:21" x14ac:dyDescent="0.25">
      <c r="B58" s="109"/>
      <c r="C58" s="109" t="s">
        <v>210</v>
      </c>
      <c r="D58" s="109" t="s">
        <v>8</v>
      </c>
      <c r="E58" s="117">
        <v>1</v>
      </c>
      <c r="F58" s="115">
        <v>161.22999999999999</v>
      </c>
      <c r="G58" s="115">
        <f t="shared" si="20"/>
        <v>161.22999999999999</v>
      </c>
      <c r="H58" s="115">
        <v>345.51</v>
      </c>
      <c r="I58" s="115">
        <f t="shared" si="21"/>
        <v>345.51</v>
      </c>
      <c r="J58" s="115">
        <f t="shared" si="22"/>
        <v>506.74</v>
      </c>
      <c r="L58" s="124"/>
      <c r="M58" s="124" t="s">
        <v>210</v>
      </c>
      <c r="N58" s="124" t="s">
        <v>8</v>
      </c>
      <c r="O58" s="126">
        <v>1</v>
      </c>
      <c r="P58" s="235">
        <v>161.22999999999999</v>
      </c>
      <c r="Q58" s="235">
        <f t="shared" si="23"/>
        <v>161.22999999999999</v>
      </c>
      <c r="R58" s="235">
        <v>345.51</v>
      </c>
      <c r="S58" s="235">
        <f t="shared" si="24"/>
        <v>345.51</v>
      </c>
      <c r="T58" s="235">
        <f t="shared" si="25"/>
        <v>506.74</v>
      </c>
      <c r="U58" s="232"/>
    </row>
    <row r="59" spans="2:21" x14ac:dyDescent="0.25">
      <c r="B59" s="109"/>
      <c r="C59" s="109" t="s">
        <v>209</v>
      </c>
      <c r="D59" s="109" t="s">
        <v>8</v>
      </c>
      <c r="E59" s="117">
        <v>1</v>
      </c>
      <c r="F59" s="115">
        <v>285.62</v>
      </c>
      <c r="G59" s="115">
        <f t="shared" si="20"/>
        <v>285.62</v>
      </c>
      <c r="H59" s="115">
        <v>345.5</v>
      </c>
      <c r="I59" s="115">
        <f t="shared" si="21"/>
        <v>345.5</v>
      </c>
      <c r="J59" s="115">
        <f t="shared" si="22"/>
        <v>631.12</v>
      </c>
      <c r="L59" s="124"/>
      <c r="M59" s="124" t="s">
        <v>209</v>
      </c>
      <c r="N59" s="124" t="s">
        <v>8</v>
      </c>
      <c r="O59" s="126">
        <v>1</v>
      </c>
      <c r="P59" s="235">
        <v>285.62</v>
      </c>
      <c r="Q59" s="235">
        <f t="shared" si="23"/>
        <v>285.62</v>
      </c>
      <c r="R59" s="235">
        <v>345.5</v>
      </c>
      <c r="S59" s="235">
        <f t="shared" si="24"/>
        <v>345.5</v>
      </c>
      <c r="T59" s="235">
        <f t="shared" si="25"/>
        <v>631.12</v>
      </c>
      <c r="U59" s="232"/>
    </row>
    <row r="60" spans="2:21" x14ac:dyDescent="0.25">
      <c r="B60" s="109"/>
      <c r="C60" s="109" t="s">
        <v>208</v>
      </c>
      <c r="D60" s="109" t="s">
        <v>8</v>
      </c>
      <c r="E60" s="117">
        <v>2</v>
      </c>
      <c r="F60" s="115">
        <v>156.63</v>
      </c>
      <c r="G60" s="115">
        <f t="shared" si="20"/>
        <v>313.26</v>
      </c>
      <c r="H60" s="115">
        <v>259.12</v>
      </c>
      <c r="I60" s="115">
        <f t="shared" si="21"/>
        <v>518.24</v>
      </c>
      <c r="J60" s="115">
        <f t="shared" si="22"/>
        <v>831.5</v>
      </c>
      <c r="L60" s="124"/>
      <c r="M60" s="124" t="s">
        <v>208</v>
      </c>
      <c r="N60" s="124" t="s">
        <v>8</v>
      </c>
      <c r="O60" s="126">
        <v>2</v>
      </c>
      <c r="P60" s="235">
        <v>156.63</v>
      </c>
      <c r="Q60" s="235">
        <f t="shared" si="23"/>
        <v>313.26</v>
      </c>
      <c r="R60" s="235">
        <v>259.12</v>
      </c>
      <c r="S60" s="235">
        <f t="shared" si="24"/>
        <v>518.24</v>
      </c>
      <c r="T60" s="235">
        <f t="shared" si="25"/>
        <v>831.5</v>
      </c>
      <c r="U60" s="232"/>
    </row>
    <row r="61" spans="2:21" x14ac:dyDescent="0.25">
      <c r="B61" s="109"/>
      <c r="C61" s="109" t="s">
        <v>207</v>
      </c>
      <c r="D61" s="109" t="s">
        <v>8</v>
      </c>
      <c r="E61" s="117">
        <v>2</v>
      </c>
      <c r="F61" s="115">
        <v>1119.43</v>
      </c>
      <c r="G61" s="115">
        <f t="shared" si="20"/>
        <v>2238.86</v>
      </c>
      <c r="H61" s="115">
        <v>518.25</v>
      </c>
      <c r="I61" s="115">
        <f t="shared" si="21"/>
        <v>1036.5</v>
      </c>
      <c r="J61" s="115">
        <f t="shared" si="22"/>
        <v>3275.36</v>
      </c>
      <c r="L61" s="124"/>
      <c r="M61" s="124" t="s">
        <v>207</v>
      </c>
      <c r="N61" s="124" t="s">
        <v>8</v>
      </c>
      <c r="O61" s="126">
        <v>2</v>
      </c>
      <c r="P61" s="235">
        <v>1119.43</v>
      </c>
      <c r="Q61" s="235">
        <f t="shared" si="23"/>
        <v>2238.86</v>
      </c>
      <c r="R61" s="235">
        <v>518.25</v>
      </c>
      <c r="S61" s="235">
        <f t="shared" si="24"/>
        <v>1036.5</v>
      </c>
      <c r="T61" s="235">
        <f t="shared" si="25"/>
        <v>3275.36</v>
      </c>
      <c r="U61" s="232"/>
    </row>
    <row r="62" spans="2:21" x14ac:dyDescent="0.25">
      <c r="B62" s="109"/>
      <c r="C62" s="109" t="s">
        <v>206</v>
      </c>
      <c r="D62" s="109" t="s">
        <v>8</v>
      </c>
      <c r="E62" s="117">
        <v>1</v>
      </c>
      <c r="F62" s="115">
        <v>169.3</v>
      </c>
      <c r="G62" s="115">
        <f t="shared" si="20"/>
        <v>169.3</v>
      </c>
      <c r="H62" s="115">
        <v>518.25</v>
      </c>
      <c r="I62" s="115">
        <f t="shared" si="21"/>
        <v>518.25</v>
      </c>
      <c r="J62" s="115">
        <f t="shared" si="22"/>
        <v>687.55</v>
      </c>
      <c r="L62" s="124"/>
      <c r="M62" s="124" t="s">
        <v>206</v>
      </c>
      <c r="N62" s="124" t="s">
        <v>8</v>
      </c>
      <c r="O62" s="126">
        <v>1</v>
      </c>
      <c r="P62" s="235">
        <v>169.3</v>
      </c>
      <c r="Q62" s="235">
        <f t="shared" si="23"/>
        <v>169.3</v>
      </c>
      <c r="R62" s="235">
        <v>518.25</v>
      </c>
      <c r="S62" s="235">
        <f t="shared" si="24"/>
        <v>518.25</v>
      </c>
      <c r="T62" s="235">
        <f t="shared" si="25"/>
        <v>687.55</v>
      </c>
      <c r="U62" s="232"/>
    </row>
    <row r="63" spans="2:21" x14ac:dyDescent="0.25">
      <c r="B63" s="109"/>
      <c r="C63" s="109" t="s">
        <v>205</v>
      </c>
      <c r="D63" s="109" t="s">
        <v>7</v>
      </c>
      <c r="E63" s="117">
        <v>20</v>
      </c>
      <c r="F63" s="115">
        <v>12.67</v>
      </c>
      <c r="G63" s="115">
        <f t="shared" si="20"/>
        <v>253.4</v>
      </c>
      <c r="H63" s="115">
        <v>43.76</v>
      </c>
      <c r="I63" s="115">
        <f t="shared" si="21"/>
        <v>875.19999999999993</v>
      </c>
      <c r="J63" s="115">
        <f t="shared" si="22"/>
        <v>1128.5999999999999</v>
      </c>
      <c r="L63" s="124"/>
      <c r="M63" s="124" t="s">
        <v>205</v>
      </c>
      <c r="N63" s="124" t="s">
        <v>7</v>
      </c>
      <c r="O63" s="126">
        <v>20</v>
      </c>
      <c r="P63" s="235">
        <v>12.67</v>
      </c>
      <c r="Q63" s="235">
        <f t="shared" si="23"/>
        <v>253.4</v>
      </c>
      <c r="R63" s="235">
        <v>43.76</v>
      </c>
      <c r="S63" s="235">
        <f t="shared" si="24"/>
        <v>875.19999999999993</v>
      </c>
      <c r="T63" s="235">
        <f t="shared" si="25"/>
        <v>1128.5999999999999</v>
      </c>
      <c r="U63" s="232"/>
    </row>
    <row r="64" spans="2:21" x14ac:dyDescent="0.25">
      <c r="B64" s="109"/>
      <c r="C64" s="109" t="s">
        <v>204</v>
      </c>
      <c r="D64" s="109" t="s">
        <v>8</v>
      </c>
      <c r="E64" s="117">
        <v>30</v>
      </c>
      <c r="F64" s="115">
        <v>5.76</v>
      </c>
      <c r="G64" s="115">
        <f t="shared" si="20"/>
        <v>172.79999999999998</v>
      </c>
      <c r="H64" s="115">
        <v>34.549999999999997</v>
      </c>
      <c r="I64" s="115">
        <f t="shared" si="21"/>
        <v>1036.5</v>
      </c>
      <c r="J64" s="115">
        <f t="shared" si="22"/>
        <v>1209.3</v>
      </c>
      <c r="L64" s="124"/>
      <c r="M64" s="124" t="s">
        <v>204</v>
      </c>
      <c r="N64" s="124" t="s">
        <v>8</v>
      </c>
      <c r="O64" s="126">
        <v>30</v>
      </c>
      <c r="P64" s="235">
        <v>5.76</v>
      </c>
      <c r="Q64" s="235">
        <f t="shared" si="23"/>
        <v>172.79999999999998</v>
      </c>
      <c r="R64" s="235">
        <v>34.549999999999997</v>
      </c>
      <c r="S64" s="235">
        <f t="shared" si="24"/>
        <v>1036.5</v>
      </c>
      <c r="T64" s="235">
        <f t="shared" si="25"/>
        <v>1209.3</v>
      </c>
      <c r="U64" s="232"/>
    </row>
    <row r="65" spans="2:21" x14ac:dyDescent="0.25">
      <c r="B65" s="109"/>
      <c r="C65" s="109" t="s">
        <v>203</v>
      </c>
      <c r="D65" s="109" t="s">
        <v>8</v>
      </c>
      <c r="E65" s="117">
        <v>5</v>
      </c>
      <c r="F65" s="115">
        <v>201.54</v>
      </c>
      <c r="G65" s="115">
        <f t="shared" si="20"/>
        <v>1007.6999999999999</v>
      </c>
      <c r="H65" s="115">
        <v>259.13</v>
      </c>
      <c r="I65" s="115">
        <f t="shared" si="21"/>
        <v>1295.6500000000001</v>
      </c>
      <c r="J65" s="115">
        <f t="shared" si="22"/>
        <v>2303.35</v>
      </c>
      <c r="L65" s="124"/>
      <c r="M65" s="124" t="s">
        <v>203</v>
      </c>
      <c r="N65" s="124" t="s">
        <v>8</v>
      </c>
      <c r="O65" s="126">
        <v>5</v>
      </c>
      <c r="P65" s="235">
        <v>201.54</v>
      </c>
      <c r="Q65" s="235">
        <f t="shared" si="23"/>
        <v>1007.6999999999999</v>
      </c>
      <c r="R65" s="235">
        <v>259.13</v>
      </c>
      <c r="S65" s="235">
        <f t="shared" si="24"/>
        <v>1295.6500000000001</v>
      </c>
      <c r="T65" s="235">
        <f t="shared" si="25"/>
        <v>2303.35</v>
      </c>
      <c r="U65" s="232"/>
    </row>
    <row r="66" spans="2:21" x14ac:dyDescent="0.25">
      <c r="B66" s="109"/>
      <c r="C66" s="109"/>
      <c r="D66" s="109"/>
      <c r="E66" s="117"/>
      <c r="F66" s="115"/>
      <c r="G66" s="115"/>
      <c r="H66" s="115"/>
      <c r="I66" s="115"/>
      <c r="J66" s="115"/>
      <c r="L66" s="124"/>
      <c r="M66" s="124"/>
      <c r="N66" s="124"/>
      <c r="O66" s="126"/>
      <c r="P66" s="235"/>
      <c r="Q66" s="235"/>
      <c r="R66" s="235"/>
      <c r="S66" s="235"/>
      <c r="T66" s="235"/>
      <c r="U66" s="232"/>
    </row>
    <row r="67" spans="2:21" x14ac:dyDescent="0.25">
      <c r="B67" s="116" t="s">
        <v>202</v>
      </c>
      <c r="C67" s="116"/>
      <c r="D67" s="116"/>
      <c r="E67" s="118"/>
      <c r="F67" s="115"/>
      <c r="G67" s="115"/>
      <c r="H67" s="115"/>
      <c r="I67" s="115"/>
      <c r="J67" s="115"/>
      <c r="L67" s="144" t="s">
        <v>202</v>
      </c>
      <c r="M67" s="144"/>
      <c r="N67" s="144"/>
      <c r="O67" s="236"/>
      <c r="P67" s="235"/>
      <c r="Q67" s="235"/>
      <c r="R67" s="235"/>
      <c r="S67" s="235"/>
      <c r="T67" s="235"/>
      <c r="U67" s="232"/>
    </row>
    <row r="68" spans="2:21" x14ac:dyDescent="0.25">
      <c r="B68" s="109"/>
      <c r="C68" s="124" t="s">
        <v>201</v>
      </c>
      <c r="D68" s="124" t="s">
        <v>7</v>
      </c>
      <c r="E68" s="126">
        <v>25</v>
      </c>
      <c r="F68" s="115">
        <v>0</v>
      </c>
      <c r="G68" s="115">
        <f>F68*E68</f>
        <v>0</v>
      </c>
      <c r="H68" s="115">
        <v>460.67</v>
      </c>
      <c r="I68" s="115">
        <f>H68*E68</f>
        <v>11516.75</v>
      </c>
      <c r="J68" s="115">
        <f>I68+G68</f>
        <v>11516.75</v>
      </c>
      <c r="L68" s="124"/>
      <c r="M68" s="124" t="s">
        <v>201</v>
      </c>
      <c r="N68" s="124" t="s">
        <v>7</v>
      </c>
      <c r="O68" s="126">
        <v>25</v>
      </c>
      <c r="P68" s="235">
        <v>0</v>
      </c>
      <c r="Q68" s="235">
        <f>P68*O68</f>
        <v>0</v>
      </c>
      <c r="R68" s="235">
        <v>460.67</v>
      </c>
      <c r="S68" s="235">
        <f>R68*O68</f>
        <v>11516.75</v>
      </c>
      <c r="T68" s="235">
        <f>S68+Q68</f>
        <v>11516.75</v>
      </c>
      <c r="U68" s="232"/>
    </row>
    <row r="69" spans="2:21" x14ac:dyDescent="0.25">
      <c r="B69" s="109"/>
      <c r="C69" s="124" t="s">
        <v>168</v>
      </c>
      <c r="D69" s="124" t="s">
        <v>6</v>
      </c>
      <c r="E69" s="126">
        <v>1.2</v>
      </c>
      <c r="F69" s="115">
        <v>0</v>
      </c>
      <c r="G69" s="115">
        <f>F69*E69</f>
        <v>0</v>
      </c>
      <c r="H69" s="115">
        <v>92.13</v>
      </c>
      <c r="I69" s="115">
        <f>H69*E69</f>
        <v>110.556</v>
      </c>
      <c r="J69" s="115">
        <f>I69+G69</f>
        <v>110.556</v>
      </c>
      <c r="L69" s="124"/>
      <c r="M69" s="124" t="s">
        <v>168</v>
      </c>
      <c r="N69" s="124" t="s">
        <v>6</v>
      </c>
      <c r="O69" s="126">
        <v>1.2</v>
      </c>
      <c r="P69" s="235">
        <v>0</v>
      </c>
      <c r="Q69" s="235">
        <f>P69*O69</f>
        <v>0</v>
      </c>
      <c r="R69" s="235">
        <v>92.13</v>
      </c>
      <c r="S69" s="235">
        <f>R69*O69</f>
        <v>110.556</v>
      </c>
      <c r="T69" s="235">
        <f>S69+Q69</f>
        <v>110.556</v>
      </c>
      <c r="U69" s="232"/>
    </row>
    <row r="70" spans="2:21" x14ac:dyDescent="0.25">
      <c r="B70" s="109"/>
      <c r="C70" s="124" t="s">
        <v>173</v>
      </c>
      <c r="D70" s="124" t="s">
        <v>7</v>
      </c>
      <c r="E70" s="126">
        <v>25</v>
      </c>
      <c r="F70" s="115">
        <v>4.6100000000000003</v>
      </c>
      <c r="G70" s="115">
        <f>F70*E70</f>
        <v>115.25000000000001</v>
      </c>
      <c r="H70" s="115">
        <v>9.2100000000000009</v>
      </c>
      <c r="I70" s="115">
        <f>H70*E70</f>
        <v>230.25000000000003</v>
      </c>
      <c r="J70" s="115">
        <f>I70+G70</f>
        <v>345.50000000000006</v>
      </c>
      <c r="L70" s="124"/>
      <c r="M70" s="124" t="s">
        <v>173</v>
      </c>
      <c r="N70" s="124" t="s">
        <v>7</v>
      </c>
      <c r="O70" s="126">
        <v>25</v>
      </c>
      <c r="P70" s="235">
        <v>4.6100000000000003</v>
      </c>
      <c r="Q70" s="235">
        <f>P70*O70</f>
        <v>115.25000000000001</v>
      </c>
      <c r="R70" s="235">
        <v>9.2100000000000009</v>
      </c>
      <c r="S70" s="235">
        <f>R70*O70</f>
        <v>230.25000000000003</v>
      </c>
      <c r="T70" s="235">
        <f>S70+Q70</f>
        <v>345.50000000000006</v>
      </c>
      <c r="U70" s="232"/>
    </row>
    <row r="71" spans="2:21" x14ac:dyDescent="0.25">
      <c r="B71" s="109"/>
      <c r="C71" s="125" t="s">
        <v>180</v>
      </c>
      <c r="D71" s="125" t="s">
        <v>7</v>
      </c>
      <c r="E71" s="125">
        <v>40</v>
      </c>
      <c r="F71" s="237">
        <v>90.98</v>
      </c>
      <c r="G71" s="237">
        <f t="shared" ref="G71" si="26">F71*E71</f>
        <v>3639.2000000000003</v>
      </c>
      <c r="H71" s="237">
        <v>26.49</v>
      </c>
      <c r="I71" s="237">
        <f t="shared" ref="I71" si="27">H71*E71</f>
        <v>1059.5999999999999</v>
      </c>
      <c r="J71" s="237">
        <f t="shared" ref="J71" si="28">G71+I71</f>
        <v>4698.8</v>
      </c>
      <c r="L71" s="124"/>
      <c r="M71" s="125" t="s">
        <v>180</v>
      </c>
      <c r="N71" s="125" t="s">
        <v>7</v>
      </c>
      <c r="O71" s="125">
        <v>40</v>
      </c>
      <c r="P71" s="237">
        <v>90.98</v>
      </c>
      <c r="Q71" s="237">
        <f t="shared" ref="Q71" si="29">P71*O71</f>
        <v>3639.2000000000003</v>
      </c>
      <c r="R71" s="237">
        <v>26.49</v>
      </c>
      <c r="S71" s="237">
        <f t="shared" ref="S71" si="30">R71*O71</f>
        <v>1059.5999999999999</v>
      </c>
      <c r="T71" s="237">
        <f t="shared" ref="T71" si="31">Q71+S71</f>
        <v>4698.8</v>
      </c>
      <c r="U71" s="232"/>
    </row>
    <row r="72" spans="2:21" x14ac:dyDescent="0.25">
      <c r="B72" s="109"/>
      <c r="C72" s="109"/>
      <c r="D72" s="109"/>
      <c r="E72" s="117"/>
      <c r="F72" s="235"/>
      <c r="G72" s="235"/>
      <c r="H72" s="235"/>
      <c r="I72" s="235"/>
      <c r="J72" s="235"/>
      <c r="L72" s="124"/>
      <c r="M72" s="124"/>
      <c r="N72" s="124"/>
      <c r="O72" s="126"/>
      <c r="P72" s="235"/>
      <c r="Q72" s="235"/>
      <c r="R72" s="235"/>
      <c r="S72" s="235"/>
      <c r="T72" s="235"/>
      <c r="U72" s="232"/>
    </row>
    <row r="73" spans="2:21" x14ac:dyDescent="0.25">
      <c r="B73" s="116" t="s">
        <v>165</v>
      </c>
      <c r="C73" s="116"/>
      <c r="D73" s="116"/>
      <c r="E73" s="118"/>
      <c r="F73" s="235"/>
      <c r="G73" s="235"/>
      <c r="H73" s="235"/>
      <c r="I73" s="235"/>
      <c r="J73" s="235"/>
      <c r="L73" s="144" t="s">
        <v>165</v>
      </c>
      <c r="M73" s="144"/>
      <c r="N73" s="144"/>
      <c r="O73" s="236"/>
      <c r="P73" s="235"/>
      <c r="Q73" s="235"/>
      <c r="R73" s="235"/>
      <c r="S73" s="235"/>
      <c r="T73" s="235"/>
      <c r="U73" s="232"/>
    </row>
    <row r="74" spans="2:21" x14ac:dyDescent="0.25">
      <c r="B74" s="109"/>
      <c r="C74" s="124" t="s">
        <v>200</v>
      </c>
      <c r="D74" s="124" t="s">
        <v>196</v>
      </c>
      <c r="E74" s="126">
        <v>1</v>
      </c>
      <c r="F74" s="235">
        <v>777.38</v>
      </c>
      <c r="G74" s="235">
        <f t="shared" ref="G74:G82" si="32">F74*E74</f>
        <v>777.38</v>
      </c>
      <c r="H74" s="235">
        <v>1036.51</v>
      </c>
      <c r="I74" s="235">
        <f t="shared" ref="I74:I82" si="33">H74*E74</f>
        <v>1036.51</v>
      </c>
      <c r="J74" s="235">
        <f t="shared" ref="J74:J82" si="34">I74+G74</f>
        <v>1813.8899999999999</v>
      </c>
      <c r="L74" s="124"/>
      <c r="M74" s="124" t="s">
        <v>200</v>
      </c>
      <c r="N74" s="124" t="s">
        <v>196</v>
      </c>
      <c r="O74" s="126">
        <v>1</v>
      </c>
      <c r="P74" s="235">
        <v>777.38</v>
      </c>
      <c r="Q74" s="235">
        <f t="shared" ref="Q74:Q82" si="35">P74*O74</f>
        <v>777.38</v>
      </c>
      <c r="R74" s="235">
        <v>1036.51</v>
      </c>
      <c r="S74" s="235">
        <f t="shared" ref="S74:S82" si="36">R74*O74</f>
        <v>1036.51</v>
      </c>
      <c r="T74" s="235">
        <f t="shared" ref="T74:T82" si="37">S74+Q74</f>
        <v>1813.8899999999999</v>
      </c>
      <c r="U74" s="232"/>
    </row>
    <row r="75" spans="2:21" x14ac:dyDescent="0.25">
      <c r="B75" s="109"/>
      <c r="C75" s="125" t="s">
        <v>261</v>
      </c>
      <c r="D75" s="125" t="s">
        <v>8</v>
      </c>
      <c r="E75" s="127">
        <v>1</v>
      </c>
      <c r="F75" s="237">
        <v>5758.38</v>
      </c>
      <c r="G75" s="237">
        <f>F75*E75</f>
        <v>5758.38</v>
      </c>
      <c r="H75" s="237">
        <v>2303.35</v>
      </c>
      <c r="I75" s="235">
        <f t="shared" si="33"/>
        <v>2303.35</v>
      </c>
      <c r="J75" s="237">
        <f>I75+G75</f>
        <v>8061.73</v>
      </c>
      <c r="L75" s="124"/>
      <c r="M75" s="125" t="s">
        <v>261</v>
      </c>
      <c r="N75" s="125" t="s">
        <v>8</v>
      </c>
      <c r="O75" s="127">
        <v>1</v>
      </c>
      <c r="P75" s="237">
        <v>5758.38</v>
      </c>
      <c r="Q75" s="237">
        <f>P75*O75</f>
        <v>5758.38</v>
      </c>
      <c r="R75" s="237">
        <v>2303.35</v>
      </c>
      <c r="S75" s="235">
        <f t="shared" si="36"/>
        <v>2303.35</v>
      </c>
      <c r="T75" s="237">
        <f>S75+Q75</f>
        <v>8061.73</v>
      </c>
      <c r="U75" s="232"/>
    </row>
    <row r="76" spans="2:21" x14ac:dyDescent="0.25">
      <c r="B76" s="109"/>
      <c r="C76" s="124" t="s">
        <v>199</v>
      </c>
      <c r="D76" s="124" t="s">
        <v>11</v>
      </c>
      <c r="E76" s="126">
        <v>1</v>
      </c>
      <c r="F76" s="115">
        <v>3109.52</v>
      </c>
      <c r="G76" s="115">
        <f t="shared" si="32"/>
        <v>3109.52</v>
      </c>
      <c r="H76" s="115">
        <v>1727.52</v>
      </c>
      <c r="I76" s="115">
        <f t="shared" si="33"/>
        <v>1727.52</v>
      </c>
      <c r="J76" s="115">
        <f t="shared" si="34"/>
        <v>4837.04</v>
      </c>
      <c r="L76" s="124"/>
      <c r="M76" s="124" t="s">
        <v>199</v>
      </c>
      <c r="N76" s="124" t="s">
        <v>11</v>
      </c>
      <c r="O76" s="126">
        <v>1</v>
      </c>
      <c r="P76" s="235">
        <v>3109.52</v>
      </c>
      <c r="Q76" s="235">
        <f t="shared" si="35"/>
        <v>3109.52</v>
      </c>
      <c r="R76" s="235">
        <v>1727.52</v>
      </c>
      <c r="S76" s="235">
        <f t="shared" si="36"/>
        <v>1727.52</v>
      </c>
      <c r="T76" s="235">
        <f t="shared" si="37"/>
        <v>4837.04</v>
      </c>
      <c r="U76" s="232"/>
    </row>
    <row r="77" spans="2:21" x14ac:dyDescent="0.25">
      <c r="B77" s="109"/>
      <c r="C77" s="124" t="s">
        <v>164</v>
      </c>
      <c r="D77" s="124" t="s">
        <v>11</v>
      </c>
      <c r="E77" s="126">
        <v>1</v>
      </c>
      <c r="F77" s="115">
        <v>20730.16</v>
      </c>
      <c r="G77" s="115">
        <f t="shared" si="32"/>
        <v>20730.16</v>
      </c>
      <c r="H77" s="115">
        <v>0</v>
      </c>
      <c r="I77" s="115">
        <f t="shared" si="33"/>
        <v>0</v>
      </c>
      <c r="J77" s="115">
        <f t="shared" si="34"/>
        <v>20730.16</v>
      </c>
      <c r="L77" s="124"/>
      <c r="M77" s="124" t="s">
        <v>164</v>
      </c>
      <c r="N77" s="124" t="s">
        <v>11</v>
      </c>
      <c r="O77" s="126">
        <v>1</v>
      </c>
      <c r="P77" s="235">
        <v>20730.16</v>
      </c>
      <c r="Q77" s="235">
        <f t="shared" si="35"/>
        <v>20730.16</v>
      </c>
      <c r="R77" s="235">
        <v>0</v>
      </c>
      <c r="S77" s="235">
        <f t="shared" si="36"/>
        <v>0</v>
      </c>
      <c r="T77" s="235">
        <f t="shared" si="37"/>
        <v>20730.16</v>
      </c>
      <c r="U77" s="232"/>
    </row>
    <row r="78" spans="2:21" x14ac:dyDescent="0.25">
      <c r="B78" s="109"/>
      <c r="C78" s="124" t="s">
        <v>163</v>
      </c>
      <c r="D78" s="124" t="s">
        <v>11</v>
      </c>
      <c r="E78" s="126">
        <v>1</v>
      </c>
      <c r="F78" s="115">
        <v>8061.73</v>
      </c>
      <c r="G78" s="115">
        <f t="shared" si="32"/>
        <v>8061.73</v>
      </c>
      <c r="H78" s="115">
        <v>0</v>
      </c>
      <c r="I78" s="115">
        <f t="shared" si="33"/>
        <v>0</v>
      </c>
      <c r="J78" s="115">
        <f t="shared" si="34"/>
        <v>8061.73</v>
      </c>
      <c r="L78" s="124"/>
      <c r="M78" s="124" t="s">
        <v>163</v>
      </c>
      <c r="N78" s="124" t="s">
        <v>11</v>
      </c>
      <c r="O78" s="126">
        <v>1</v>
      </c>
      <c r="P78" s="235">
        <v>8061.73</v>
      </c>
      <c r="Q78" s="235">
        <f t="shared" si="35"/>
        <v>8061.73</v>
      </c>
      <c r="R78" s="235">
        <v>0</v>
      </c>
      <c r="S78" s="235">
        <f t="shared" si="36"/>
        <v>0</v>
      </c>
      <c r="T78" s="235">
        <f t="shared" si="37"/>
        <v>8061.73</v>
      </c>
      <c r="U78" s="232"/>
    </row>
    <row r="79" spans="2:21" x14ac:dyDescent="0.25">
      <c r="B79" s="109"/>
      <c r="C79" s="124" t="s">
        <v>198</v>
      </c>
      <c r="D79" s="124" t="s">
        <v>11</v>
      </c>
      <c r="E79" s="126">
        <v>1</v>
      </c>
      <c r="F79" s="115">
        <v>0</v>
      </c>
      <c r="G79" s="115">
        <f t="shared" si="32"/>
        <v>0</v>
      </c>
      <c r="H79" s="115">
        <v>28791.89</v>
      </c>
      <c r="I79" s="115">
        <f t="shared" si="33"/>
        <v>28791.89</v>
      </c>
      <c r="J79" s="115">
        <f t="shared" si="34"/>
        <v>28791.89</v>
      </c>
      <c r="L79" s="124"/>
      <c r="M79" s="124" t="s">
        <v>198</v>
      </c>
      <c r="N79" s="124" t="s">
        <v>11</v>
      </c>
      <c r="O79" s="126">
        <v>1</v>
      </c>
      <c r="P79" s="235">
        <v>0</v>
      </c>
      <c r="Q79" s="235">
        <f t="shared" si="35"/>
        <v>0</v>
      </c>
      <c r="R79" s="235">
        <v>28791.89</v>
      </c>
      <c r="S79" s="235">
        <f t="shared" si="36"/>
        <v>28791.89</v>
      </c>
      <c r="T79" s="235">
        <f t="shared" si="37"/>
        <v>28791.89</v>
      </c>
      <c r="U79" s="232"/>
    </row>
    <row r="80" spans="2:21" x14ac:dyDescent="0.25">
      <c r="B80" s="109"/>
      <c r="C80" s="124" t="s">
        <v>197</v>
      </c>
      <c r="D80" s="124" t="s">
        <v>196</v>
      </c>
      <c r="E80" s="126">
        <v>1</v>
      </c>
      <c r="F80" s="115">
        <v>0</v>
      </c>
      <c r="G80" s="115">
        <f t="shared" si="32"/>
        <v>0</v>
      </c>
      <c r="H80" s="115">
        <v>20730.16</v>
      </c>
      <c r="I80" s="115">
        <f t="shared" si="33"/>
        <v>20730.16</v>
      </c>
      <c r="J80" s="115">
        <f t="shared" si="34"/>
        <v>20730.16</v>
      </c>
      <c r="L80" s="124"/>
      <c r="M80" s="124" t="s">
        <v>197</v>
      </c>
      <c r="N80" s="124" t="s">
        <v>196</v>
      </c>
      <c r="O80" s="126">
        <v>1</v>
      </c>
      <c r="P80" s="235">
        <v>0</v>
      </c>
      <c r="Q80" s="235">
        <f t="shared" si="35"/>
        <v>0</v>
      </c>
      <c r="R80" s="235">
        <v>20730.16</v>
      </c>
      <c r="S80" s="235">
        <f t="shared" si="36"/>
        <v>20730.16</v>
      </c>
      <c r="T80" s="235">
        <f t="shared" si="37"/>
        <v>20730.16</v>
      </c>
      <c r="U80" s="232"/>
    </row>
    <row r="81" spans="2:21" x14ac:dyDescent="0.25">
      <c r="B81" s="109"/>
      <c r="C81" s="124" t="s">
        <v>127</v>
      </c>
      <c r="D81" s="124" t="s">
        <v>11</v>
      </c>
      <c r="E81" s="126">
        <v>1</v>
      </c>
      <c r="F81" s="115">
        <v>1727.51</v>
      </c>
      <c r="G81" s="115">
        <f t="shared" si="32"/>
        <v>1727.51</v>
      </c>
      <c r="H81" s="115">
        <v>0</v>
      </c>
      <c r="I81" s="115">
        <f t="shared" si="33"/>
        <v>0</v>
      </c>
      <c r="J81" s="115">
        <f t="shared" si="34"/>
        <v>1727.51</v>
      </c>
      <c r="L81" s="124"/>
      <c r="M81" s="124" t="s">
        <v>127</v>
      </c>
      <c r="N81" s="124" t="s">
        <v>11</v>
      </c>
      <c r="O81" s="126">
        <v>1</v>
      </c>
      <c r="P81" s="235">
        <v>1727.51</v>
      </c>
      <c r="Q81" s="235">
        <f t="shared" si="35"/>
        <v>1727.51</v>
      </c>
      <c r="R81" s="235">
        <v>0</v>
      </c>
      <c r="S81" s="235">
        <f t="shared" si="36"/>
        <v>0</v>
      </c>
      <c r="T81" s="235">
        <f t="shared" si="37"/>
        <v>1727.51</v>
      </c>
      <c r="U81" s="232"/>
    </row>
    <row r="82" spans="2:21" x14ac:dyDescent="0.25">
      <c r="B82" s="109"/>
      <c r="C82" s="124" t="s">
        <v>162</v>
      </c>
      <c r="D82" s="124" t="s">
        <v>11</v>
      </c>
      <c r="E82" s="126">
        <v>1</v>
      </c>
      <c r="F82" s="115">
        <v>22959.81</v>
      </c>
      <c r="G82" s="115">
        <f t="shared" si="32"/>
        <v>22959.81</v>
      </c>
      <c r="H82" s="115">
        <v>0</v>
      </c>
      <c r="I82" s="115">
        <f t="shared" si="33"/>
        <v>0</v>
      </c>
      <c r="J82" s="115">
        <f t="shared" si="34"/>
        <v>22959.81</v>
      </c>
      <c r="L82" s="124"/>
      <c r="M82" s="124" t="s">
        <v>162</v>
      </c>
      <c r="N82" s="124" t="s">
        <v>11</v>
      </c>
      <c r="O82" s="126">
        <v>1</v>
      </c>
      <c r="P82" s="235">
        <v>22959.81</v>
      </c>
      <c r="Q82" s="235">
        <f t="shared" si="35"/>
        <v>22959.81</v>
      </c>
      <c r="R82" s="235">
        <v>0</v>
      </c>
      <c r="S82" s="235">
        <f t="shared" si="36"/>
        <v>0</v>
      </c>
      <c r="T82" s="235">
        <f t="shared" si="37"/>
        <v>22959.81</v>
      </c>
      <c r="U82" s="232"/>
    </row>
    <row r="83" spans="2:21" x14ac:dyDescent="0.25">
      <c r="B83" s="109"/>
      <c r="C83" s="109"/>
      <c r="D83" s="109"/>
      <c r="E83" s="117"/>
      <c r="F83" s="115"/>
      <c r="G83" s="115"/>
      <c r="H83" s="115"/>
      <c r="I83" s="115"/>
      <c r="J83" s="115"/>
      <c r="L83" s="124"/>
      <c r="M83" s="124"/>
      <c r="N83" s="124"/>
      <c r="O83" s="126"/>
      <c r="P83" s="235"/>
      <c r="Q83" s="235"/>
      <c r="R83" s="235"/>
      <c r="S83" s="235"/>
      <c r="T83" s="235"/>
      <c r="U83" s="232"/>
    </row>
    <row r="84" spans="2:21" x14ac:dyDescent="0.25">
      <c r="B84" s="109"/>
      <c r="C84" s="109"/>
      <c r="D84" s="109"/>
      <c r="E84" s="117"/>
      <c r="F84" s="115"/>
      <c r="G84" s="115"/>
      <c r="H84" s="115"/>
      <c r="I84" s="115"/>
      <c r="J84" s="115"/>
      <c r="L84" s="124"/>
      <c r="M84" s="124"/>
      <c r="N84" s="124"/>
      <c r="O84" s="126"/>
      <c r="P84" s="235"/>
      <c r="Q84" s="235"/>
      <c r="R84" s="235"/>
      <c r="S84" s="235"/>
      <c r="T84" s="235"/>
      <c r="U84" s="232"/>
    </row>
    <row r="85" spans="2:21" x14ac:dyDescent="0.25">
      <c r="B85" s="116" t="s">
        <v>195</v>
      </c>
      <c r="C85" s="116"/>
      <c r="D85" s="116"/>
      <c r="E85" s="116"/>
      <c r="F85" s="115"/>
      <c r="G85" s="115"/>
      <c r="H85" s="115"/>
      <c r="I85" s="115"/>
      <c r="J85" s="115"/>
      <c r="L85" s="144" t="s">
        <v>195</v>
      </c>
      <c r="M85" s="144"/>
      <c r="N85" s="144"/>
      <c r="O85" s="144"/>
      <c r="P85" s="235"/>
      <c r="Q85" s="235"/>
      <c r="R85" s="235"/>
      <c r="S85" s="235"/>
      <c r="T85" s="235"/>
      <c r="U85" s="232"/>
    </row>
    <row r="86" spans="2:21" x14ac:dyDescent="0.25">
      <c r="B86" s="109"/>
      <c r="C86" s="133" t="s">
        <v>194</v>
      </c>
      <c r="D86" s="133" t="s">
        <v>8</v>
      </c>
      <c r="E86" s="144">
        <v>2</v>
      </c>
      <c r="F86" s="115">
        <v>20253.37</v>
      </c>
      <c r="G86" s="115">
        <f>F86*E86</f>
        <v>40506.74</v>
      </c>
      <c r="H86" s="115">
        <v>1382.01</v>
      </c>
      <c r="I86" s="115">
        <f>H86*E86</f>
        <v>2764.02</v>
      </c>
      <c r="J86" s="115">
        <f>I86+G86</f>
        <v>43270.759999999995</v>
      </c>
      <c r="L86" s="124"/>
      <c r="M86" s="124" t="s">
        <v>194</v>
      </c>
      <c r="N86" s="124" t="s">
        <v>8</v>
      </c>
      <c r="O86" s="124">
        <v>1</v>
      </c>
      <c r="P86" s="235">
        <v>20253.37</v>
      </c>
      <c r="Q86" s="235">
        <f>P86*O86</f>
        <v>20253.37</v>
      </c>
      <c r="R86" s="235">
        <v>1382.01</v>
      </c>
      <c r="S86" s="235">
        <f>R86*O86</f>
        <v>1382.01</v>
      </c>
      <c r="T86" s="235">
        <f>S86+Q86</f>
        <v>21635.379999999997</v>
      </c>
      <c r="U86" s="232"/>
    </row>
    <row r="87" spans="2:21" x14ac:dyDescent="0.25">
      <c r="B87" s="109"/>
      <c r="C87" s="124" t="s">
        <v>193</v>
      </c>
      <c r="D87" s="124" t="s">
        <v>8</v>
      </c>
      <c r="E87" s="124">
        <v>2</v>
      </c>
      <c r="F87" s="115">
        <v>914.43</v>
      </c>
      <c r="G87" s="115">
        <f>F87*E87</f>
        <v>1828.86</v>
      </c>
      <c r="H87" s="115">
        <v>518.25</v>
      </c>
      <c r="I87" s="115">
        <f>H87*E87</f>
        <v>1036.5</v>
      </c>
      <c r="J87" s="115">
        <f>I87+G87</f>
        <v>2865.3599999999997</v>
      </c>
      <c r="L87" s="124"/>
      <c r="M87" s="124" t="s">
        <v>193</v>
      </c>
      <c r="N87" s="124" t="s">
        <v>8</v>
      </c>
      <c r="O87" s="124">
        <v>2</v>
      </c>
      <c r="P87" s="235">
        <v>914.43</v>
      </c>
      <c r="Q87" s="235">
        <f>P87*O87</f>
        <v>1828.86</v>
      </c>
      <c r="R87" s="235">
        <v>518.25</v>
      </c>
      <c r="S87" s="235">
        <f>R87*O87</f>
        <v>1036.5</v>
      </c>
      <c r="T87" s="235">
        <f>S87+Q87</f>
        <v>2865.3599999999997</v>
      </c>
      <c r="U87" s="232"/>
    </row>
    <row r="88" spans="2:21" x14ac:dyDescent="0.25">
      <c r="B88" s="109"/>
      <c r="C88" s="124" t="s">
        <v>192</v>
      </c>
      <c r="D88" s="124" t="s">
        <v>8</v>
      </c>
      <c r="E88" s="124">
        <v>3</v>
      </c>
      <c r="F88" s="115">
        <v>507.89</v>
      </c>
      <c r="G88" s="115">
        <f>F88*E88</f>
        <v>1523.67</v>
      </c>
      <c r="H88" s="115">
        <v>604.63</v>
      </c>
      <c r="I88" s="115">
        <f>H88*E88</f>
        <v>1813.8899999999999</v>
      </c>
      <c r="J88" s="115">
        <f>I88+G88</f>
        <v>3337.56</v>
      </c>
      <c r="L88" s="124"/>
      <c r="M88" s="124" t="s">
        <v>192</v>
      </c>
      <c r="N88" s="124" t="s">
        <v>8</v>
      </c>
      <c r="O88" s="124">
        <v>3</v>
      </c>
      <c r="P88" s="235">
        <v>507.89</v>
      </c>
      <c r="Q88" s="235">
        <f>P88*O88</f>
        <v>1523.67</v>
      </c>
      <c r="R88" s="235">
        <v>604.63</v>
      </c>
      <c r="S88" s="235">
        <f>R88*O88</f>
        <v>1813.8899999999999</v>
      </c>
      <c r="T88" s="235">
        <f>S88+Q88</f>
        <v>3337.56</v>
      </c>
      <c r="U88" s="232"/>
    </row>
    <row r="89" spans="2:21" x14ac:dyDescent="0.25">
      <c r="B89" s="109"/>
      <c r="C89" s="125" t="s">
        <v>262</v>
      </c>
      <c r="D89" s="125" t="s">
        <v>8</v>
      </c>
      <c r="E89" s="125">
        <v>1</v>
      </c>
      <c r="F89" s="237">
        <v>248.76</v>
      </c>
      <c r="G89" s="237">
        <f t="shared" ref="G89" si="38">F89*E89</f>
        <v>248.76</v>
      </c>
      <c r="H89" s="237">
        <v>345.5</v>
      </c>
      <c r="I89" s="235">
        <f>H89*E89</f>
        <v>345.5</v>
      </c>
      <c r="J89" s="237">
        <f t="shared" ref="J89" si="39">I89+G89</f>
        <v>594.26</v>
      </c>
      <c r="L89" s="124"/>
      <c r="M89" s="125" t="s">
        <v>262</v>
      </c>
      <c r="N89" s="125" t="s">
        <v>8</v>
      </c>
      <c r="O89" s="125">
        <v>1</v>
      </c>
      <c r="P89" s="237">
        <v>248.76</v>
      </c>
      <c r="Q89" s="237">
        <f t="shared" ref="Q89" si="40">P89*O89</f>
        <v>248.76</v>
      </c>
      <c r="R89" s="237">
        <v>345.5</v>
      </c>
      <c r="S89" s="235">
        <f>R89*O89</f>
        <v>345.5</v>
      </c>
      <c r="T89" s="237">
        <f t="shared" ref="T89" si="41">S89+Q89</f>
        <v>594.26</v>
      </c>
      <c r="U89" s="232"/>
    </row>
    <row r="90" spans="2:21" x14ac:dyDescent="0.25">
      <c r="B90" s="109"/>
      <c r="C90" s="109"/>
      <c r="D90" s="109"/>
      <c r="E90" s="109"/>
      <c r="F90" s="235"/>
      <c r="G90" s="235"/>
      <c r="H90" s="235"/>
      <c r="I90" s="235"/>
      <c r="J90" s="235"/>
      <c r="L90" s="124"/>
      <c r="M90" s="124"/>
      <c r="N90" s="124"/>
      <c r="O90" s="124"/>
      <c r="P90" s="235"/>
      <c r="Q90" s="235"/>
      <c r="R90" s="235"/>
      <c r="S90" s="235"/>
      <c r="T90" s="235"/>
      <c r="U90" s="232"/>
    </row>
    <row r="91" spans="2:21" x14ac:dyDescent="0.25">
      <c r="B91" s="116" t="s">
        <v>191</v>
      </c>
      <c r="C91" s="116"/>
      <c r="D91" s="116"/>
      <c r="E91" s="116"/>
      <c r="F91" s="235"/>
      <c r="G91" s="235"/>
      <c r="H91" s="235"/>
      <c r="I91" s="235"/>
      <c r="J91" s="235"/>
      <c r="L91" s="144" t="s">
        <v>191</v>
      </c>
      <c r="M91" s="144"/>
      <c r="N91" s="144"/>
      <c r="O91" s="144"/>
      <c r="P91" s="235"/>
      <c r="Q91" s="235"/>
      <c r="R91" s="235"/>
      <c r="S91" s="235"/>
      <c r="T91" s="235"/>
      <c r="U91" s="232"/>
    </row>
    <row r="92" spans="2:21" x14ac:dyDescent="0.25">
      <c r="B92" s="124"/>
      <c r="C92" s="125" t="s">
        <v>263</v>
      </c>
      <c r="D92" s="125" t="s">
        <v>11</v>
      </c>
      <c r="E92" s="125">
        <v>1</v>
      </c>
      <c r="F92" s="237">
        <v>2764.02</v>
      </c>
      <c r="G92" s="237">
        <f>F92*E92</f>
        <v>2764.02</v>
      </c>
      <c r="H92" s="237">
        <v>921.34</v>
      </c>
      <c r="I92" s="237">
        <f>H92*E92</f>
        <v>921.34</v>
      </c>
      <c r="J92" s="237">
        <f>I92+G92</f>
        <v>3685.36</v>
      </c>
      <c r="L92" s="124"/>
      <c r="M92" s="125" t="s">
        <v>263</v>
      </c>
      <c r="N92" s="125" t="s">
        <v>11</v>
      </c>
      <c r="O92" s="125">
        <v>1</v>
      </c>
      <c r="P92" s="237">
        <v>2764.02</v>
      </c>
      <c r="Q92" s="237">
        <f>P92*O92</f>
        <v>2764.02</v>
      </c>
      <c r="R92" s="237">
        <v>921.34</v>
      </c>
      <c r="S92" s="237">
        <f>R92*O92</f>
        <v>921.34</v>
      </c>
      <c r="T92" s="237">
        <f>S92+Q92</f>
        <v>3685.36</v>
      </c>
      <c r="U92" s="232"/>
    </row>
    <row r="93" spans="2:21" x14ac:dyDescent="0.25">
      <c r="B93" s="124"/>
      <c r="C93" s="124" t="s">
        <v>190</v>
      </c>
      <c r="D93" s="124" t="s">
        <v>11</v>
      </c>
      <c r="E93" s="124">
        <v>1</v>
      </c>
      <c r="F93" s="115">
        <v>5988.71</v>
      </c>
      <c r="G93" s="115">
        <f>F93*E93</f>
        <v>5988.71</v>
      </c>
      <c r="H93" s="115">
        <v>1382.01</v>
      </c>
      <c r="I93" s="115">
        <f>H93*E93</f>
        <v>1382.01</v>
      </c>
      <c r="J93" s="115">
        <f>I93+G93</f>
        <v>7370.72</v>
      </c>
      <c r="L93" s="124"/>
      <c r="M93" s="124" t="s">
        <v>190</v>
      </c>
      <c r="N93" s="124" t="s">
        <v>11</v>
      </c>
      <c r="O93" s="124">
        <v>1</v>
      </c>
      <c r="P93" s="235">
        <v>5988.71</v>
      </c>
      <c r="Q93" s="235">
        <f>P93*O93</f>
        <v>5988.71</v>
      </c>
      <c r="R93" s="235">
        <v>1382.01</v>
      </c>
      <c r="S93" s="235">
        <f>R93*O93</f>
        <v>1382.01</v>
      </c>
      <c r="T93" s="235">
        <f>S93+Q93</f>
        <v>7370.72</v>
      </c>
      <c r="U93" s="232"/>
    </row>
    <row r="94" spans="2:21" x14ac:dyDescent="0.25">
      <c r="B94" s="124"/>
      <c r="C94" s="124" t="s">
        <v>189</v>
      </c>
      <c r="D94" s="124" t="s">
        <v>11</v>
      </c>
      <c r="E94" s="124">
        <v>1</v>
      </c>
      <c r="F94" s="115">
        <v>4019.35</v>
      </c>
      <c r="G94" s="115">
        <f>F94*E94</f>
        <v>4019.35</v>
      </c>
      <c r="H94" s="115">
        <v>2303.35</v>
      </c>
      <c r="I94" s="115">
        <f>H94*E94</f>
        <v>2303.35</v>
      </c>
      <c r="J94" s="115">
        <f>I94+G94</f>
        <v>6322.7</v>
      </c>
      <c r="L94" s="124"/>
      <c r="M94" s="124" t="s">
        <v>189</v>
      </c>
      <c r="N94" s="124" t="s">
        <v>11</v>
      </c>
      <c r="O94" s="124">
        <v>1</v>
      </c>
      <c r="P94" s="235">
        <v>4019.35</v>
      </c>
      <c r="Q94" s="235">
        <f>P94*O94</f>
        <v>4019.35</v>
      </c>
      <c r="R94" s="235">
        <v>2303.35</v>
      </c>
      <c r="S94" s="235">
        <f>R94*O94</f>
        <v>2303.35</v>
      </c>
      <c r="T94" s="235">
        <f>S94+Q94</f>
        <v>6322.7</v>
      </c>
      <c r="U94" s="232"/>
    </row>
    <row r="95" spans="2:21" ht="15.75" thickBot="1" x14ac:dyDescent="0.3">
      <c r="B95" s="124"/>
      <c r="C95" s="124" t="s">
        <v>188</v>
      </c>
      <c r="D95" s="124" t="s">
        <v>7</v>
      </c>
      <c r="E95" s="124">
        <v>10</v>
      </c>
      <c r="F95" s="115">
        <v>276.39999999999998</v>
      </c>
      <c r="G95" s="115">
        <f>F95*E95</f>
        <v>2764</v>
      </c>
      <c r="H95" s="115">
        <v>34.549999999999997</v>
      </c>
      <c r="I95" s="115">
        <f>H95*E95</f>
        <v>345.5</v>
      </c>
      <c r="J95" s="142">
        <f>I95+G95</f>
        <v>3109.5</v>
      </c>
      <c r="L95" s="124"/>
      <c r="M95" s="124" t="s">
        <v>188</v>
      </c>
      <c r="N95" s="124" t="s">
        <v>7</v>
      </c>
      <c r="O95" s="124">
        <v>10</v>
      </c>
      <c r="P95" s="235">
        <v>276.39999999999998</v>
      </c>
      <c r="Q95" s="235">
        <f>P95*O95</f>
        <v>2764</v>
      </c>
      <c r="R95" s="235">
        <v>34.549999999999997</v>
      </c>
      <c r="S95" s="235">
        <f>R95*O95</f>
        <v>345.5</v>
      </c>
      <c r="T95" s="239">
        <f>S95+Q95</f>
        <v>3109.5</v>
      </c>
      <c r="U95" s="232"/>
    </row>
    <row r="96" spans="2:21" ht="15.75" thickBot="1" x14ac:dyDescent="0.3">
      <c r="F96" s="114"/>
      <c r="G96" s="114"/>
      <c r="H96" s="114"/>
      <c r="I96" s="114"/>
      <c r="J96" s="113">
        <f>SUM(J5:J95)</f>
        <v>638688.08367999992</v>
      </c>
      <c r="L96" s="232"/>
      <c r="M96" s="232"/>
      <c r="N96" s="232"/>
      <c r="O96" s="232"/>
      <c r="P96" s="240"/>
      <c r="Q96" s="240"/>
      <c r="R96" s="240"/>
      <c r="S96" s="240"/>
      <c r="T96" s="241">
        <f>SUM(T5:T95)</f>
        <v>609925.13399999996</v>
      </c>
      <c r="U96" s="232"/>
    </row>
    <row r="97" spans="9:9" x14ac:dyDescent="0.25">
      <c r="I97" s="112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Rekapitulace stavby</vt:lpstr>
      <vt:lpstr>SO 01</vt:lpstr>
      <vt:lpstr>SO 02</vt:lpstr>
      <vt:lpstr>PS 01</vt:lpstr>
      <vt:lpstr>PS 02</vt:lpstr>
      <vt:lpstr>'Rekapitulace stavby'!Názvy_tisku</vt:lpstr>
      <vt:lpstr>'PS 01'!Oblast_tisku</vt:lpstr>
      <vt:lpstr>'Rekapitulace stavby'!Oblast_tisku</vt:lpstr>
      <vt:lpstr>'SO 01'!Oblast_tisku</vt:lpstr>
      <vt:lpstr>'SO 02'!Oblast_tisku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Pospíšil</dc:creator>
  <cp:lastModifiedBy>Dudek Lukáš</cp:lastModifiedBy>
  <cp:lastPrinted>2022-08-15T08:00:06Z</cp:lastPrinted>
  <dcterms:created xsi:type="dcterms:W3CDTF">2021-09-03T08:41:49Z</dcterms:created>
  <dcterms:modified xsi:type="dcterms:W3CDTF">2024-02-19T13:13:16Z</dcterms:modified>
</cp:coreProperties>
</file>